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https://budget.gr.ch/DFG/Department_Docs/2025 Rechnung Botschaft/Tabellen/"/>
    </mc:Choice>
  </mc:AlternateContent>
  <xr:revisionPtr revIDLastSave="0" documentId="13_ncr:20000001_{E4B026A7-06C0-47E1-AB42-86CFAFFEF769}" xr6:coauthVersionLast="47" xr6:coauthVersionMax="47" xr10:uidLastSave="{00000000-0000-0000-0000-000000000000}"/>
  <bookViews>
    <workbookView visibility="hidden" xWindow="-110" yWindow="-110" windowWidth="19420" windowHeight="11500" tabRatio="708" firstSheet="1" activeTab="7" xr2:uid="{00000000-000D-0000-FFFF-FFFF00000000}"/>
    <workbookView xWindow="28680" yWindow="2925" windowWidth="29040" windowHeight="15720" tabRatio="781" xr2:uid="{00000000-000D-0000-FFFF-FFFF01000000}"/>
  </bookViews>
  <sheets>
    <sheet name="Schlüsselgrössen" sheetId="6" r:id="rId1"/>
    <sheet name="Aufwandgruppen" sheetId="22" r:id="rId2"/>
    <sheet name="Ertragsgruppen" sheetId="23" r:id="rId3"/>
    <sheet name="SF Strassen" sheetId="18" r:id="rId4"/>
    <sheet name="HRM2-Kennzahlen ab 2013" sheetId="15" r:id="rId5"/>
    <sheet name="Ergebnisse Erfolgsrechnung" sheetId="20" r:id="rId6"/>
    <sheet name="Ergebnisse Investitionsrechnung" sheetId="24" r:id="rId7"/>
    <sheet name="frei verfügbares Eigenkapital" sheetId="25" r:id="rId8"/>
  </sheets>
  <externalReferences>
    <externalReference r:id="rId9"/>
    <externalReference r:id="rId10"/>
  </externalReferences>
  <definedNames>
    <definedName name="Budgetname">[1]Parameter!#REF!</definedName>
    <definedName name="Budgetname_Vorjahr">[1]Parameter!#REF!</definedName>
    <definedName name="Budgettyp">[1]Parameter!#REF!</definedName>
    <definedName name="_xlnm.Print_Area" localSheetId="5">'Ergebnisse Erfolgsrechnung'!$A$1:$L$53</definedName>
    <definedName name="_xlnm.Print_Area" localSheetId="6">'Ergebnisse Investitionsrechnung'!$A$1:$K$52</definedName>
    <definedName name="_xlnm.Print_Area" localSheetId="7">'frei verfügbares Eigenkapital'!$A$1:$O$35</definedName>
    <definedName name="_xlnm.Print_Area" localSheetId="4">'HRM2-Kennzahlen ab 2013'!$A$1:$Y$67</definedName>
    <definedName name="_xlnm.Print_Area" localSheetId="0">Schlüsselgrössen!$A$1:$Q$45</definedName>
    <definedName name="_xlnm.Print_Area" localSheetId="3">'SF Strassen'!$A$1:$I$43</definedName>
    <definedName name="Jahr" localSheetId="7">[1]Parameter!$B$3</definedName>
    <definedName name="Jahr">[2]Parameter!$B$3</definedName>
    <definedName name="Verbindung">[1]Parameter!$B$2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24" l="1"/>
  <c r="D7" i="25" l="1"/>
  <c r="I7" i="25"/>
  <c r="H7" i="25"/>
  <c r="G7" i="25"/>
  <c r="F7" i="25"/>
  <c r="E7" i="25"/>
  <c r="C7" i="25"/>
  <c r="B7" i="25"/>
  <c r="J7" i="25"/>
  <c r="K7" i="25"/>
  <c r="K32" i="25" s="1"/>
  <c r="K24" i="25"/>
  <c r="K19" i="25"/>
  <c r="K12" i="25"/>
  <c r="K33" i="25" s="1"/>
  <c r="K31" i="25" l="1"/>
  <c r="K18" i="25"/>
  <c r="K27" i="25" s="1"/>
  <c r="K34" i="25" s="1"/>
  <c r="E52" i="24"/>
  <c r="F52" i="24"/>
  <c r="G52" i="24"/>
  <c r="E51" i="24"/>
  <c r="F51" i="24"/>
  <c r="G51" i="24"/>
  <c r="H52" i="24"/>
  <c r="K35" i="25" l="1"/>
  <c r="D31" i="24"/>
  <c r="D32" i="24"/>
  <c r="D33" i="24"/>
  <c r="D34" i="24"/>
  <c r="H31" i="24"/>
  <c r="H32" i="24"/>
  <c r="H33" i="24"/>
  <c r="I34" i="24" l="1"/>
  <c r="D52" i="24"/>
  <c r="I33" i="24"/>
  <c r="J33" i="24" s="1"/>
  <c r="I32" i="24"/>
  <c r="J34" i="24" l="1"/>
  <c r="J52" i="24" s="1"/>
  <c r="I52" i="24"/>
  <c r="C53" i="20" l="1"/>
  <c r="D53" i="20"/>
  <c r="F53" i="20"/>
  <c r="B53" i="20"/>
  <c r="C52" i="20"/>
  <c r="F52" i="20"/>
  <c r="E34" i="20"/>
  <c r="G34" i="20" s="1"/>
  <c r="H34" i="20" s="1"/>
  <c r="H53" i="20" s="1"/>
  <c r="G53" i="20" l="1"/>
  <c r="E53" i="20"/>
  <c r="E33" i="20"/>
  <c r="Q67" i="15"/>
  <c r="I67" i="15"/>
  <c r="K67" i="15"/>
  <c r="G33" i="20" l="1"/>
  <c r="H33" i="20" s="1"/>
  <c r="E52" i="20"/>
  <c r="D67" i="15"/>
  <c r="S18" i="15" l="1"/>
  <c r="R18" i="15"/>
  <c r="P17" i="15"/>
  <c r="P18" i="15"/>
  <c r="F16" i="15"/>
  <c r="F17" i="15"/>
  <c r="F18" i="15"/>
  <c r="T18" i="15" l="1"/>
  <c r="Q66" i="15"/>
  <c r="K66" i="15"/>
  <c r="I66" i="15"/>
  <c r="F66" i="15"/>
  <c r="D66" i="15"/>
  <c r="L49" i="15"/>
  <c r="E17" i="15"/>
  <c r="S17" i="15"/>
  <c r="R17" i="15"/>
  <c r="V17" i="15" s="1"/>
  <c r="Q17" i="15"/>
  <c r="K17" i="15"/>
  <c r="M17" i="15" s="1"/>
  <c r="H17" i="15"/>
  <c r="D17" i="15"/>
  <c r="D32" i="18"/>
  <c r="D33" i="18"/>
  <c r="D34" i="18"/>
  <c r="F34" i="18" s="1"/>
  <c r="G34" i="18" s="1"/>
  <c r="N66" i="15" l="1"/>
  <c r="R66" i="15" s="1"/>
  <c r="J33" i="20" s="1"/>
  <c r="I33" i="20" s="1"/>
  <c r="T17" i="15"/>
  <c r="F33" i="18" l="1"/>
  <c r="G33" i="18" s="1"/>
  <c r="I34" i="22" l="1"/>
  <c r="F34" i="22"/>
  <c r="I33" i="22" l="1"/>
  <c r="F33" i="22"/>
  <c r="G33" i="6" l="1"/>
  <c r="B34" i="24" s="1"/>
  <c r="B52" i="24" l="1"/>
  <c r="C34" i="24"/>
  <c r="C52" i="24" s="1"/>
  <c r="I33" i="6"/>
  <c r="K33" i="6"/>
  <c r="D33" i="6"/>
  <c r="G32" i="6" l="1"/>
  <c r="D32" i="6"/>
  <c r="J19" i="25"/>
  <c r="I19" i="25"/>
  <c r="J32" i="24"/>
  <c r="K32" i="6" l="1"/>
  <c r="B33" i="24"/>
  <c r="I32" i="6"/>
  <c r="L50" i="15"/>
  <c r="H34" i="18" l="1"/>
  <c r="K18" i="15" l="1"/>
  <c r="D18" i="15"/>
  <c r="F32" i="18"/>
  <c r="G32" i="18" s="1"/>
  <c r="J24" i="25" l="1"/>
  <c r="J12" i="25"/>
  <c r="J32" i="25" l="1"/>
  <c r="J33" i="25"/>
  <c r="H30" i="24"/>
  <c r="H51" i="24" s="1"/>
  <c r="G43" i="24"/>
  <c r="E43" i="24"/>
  <c r="G44" i="24"/>
  <c r="E44" i="24"/>
  <c r="H27" i="24"/>
  <c r="H29" i="24"/>
  <c r="G32" i="20"/>
  <c r="Q65" i="15"/>
  <c r="F67" i="15"/>
  <c r="N67" i="15" s="1"/>
  <c r="R67" i="15" s="1"/>
  <c r="D65" i="15"/>
  <c r="K65" i="15"/>
  <c r="I65" i="15"/>
  <c r="F65" i="15"/>
  <c r="E18" i="15"/>
  <c r="H18" i="15"/>
  <c r="M18" i="15"/>
  <c r="Q18" i="15"/>
  <c r="V18" i="15"/>
  <c r="L48" i="15"/>
  <c r="S16" i="15"/>
  <c r="R16" i="15"/>
  <c r="P16" i="15"/>
  <c r="Q16" i="15" s="1"/>
  <c r="K16" i="15"/>
  <c r="M16" i="15" s="1"/>
  <c r="H16" i="15"/>
  <c r="E16" i="15"/>
  <c r="D16" i="15"/>
  <c r="V16" i="15" l="1"/>
  <c r="N65" i="15"/>
  <c r="R65" i="15" s="1"/>
  <c r="W18" i="15"/>
  <c r="J31" i="25"/>
  <c r="J18" i="25"/>
  <c r="J27" i="25" s="1"/>
  <c r="J34" i="25" s="1"/>
  <c r="J35" i="25" s="1"/>
  <c r="T16" i="15"/>
  <c r="W16" i="15" l="1"/>
  <c r="Y16" i="15" s="1"/>
  <c r="W17" i="15"/>
  <c r="Y17" i="15" s="1"/>
  <c r="J32" i="20"/>
  <c r="J34" i="20"/>
  <c r="Y18" i="15"/>
  <c r="I34" i="20" l="1"/>
  <c r="I53" i="20" s="1"/>
  <c r="J53" i="20"/>
  <c r="I32" i="25"/>
  <c r="H24" i="25" l="1"/>
  <c r="H19" i="25"/>
  <c r="H12" i="25"/>
  <c r="H33" i="25" s="1"/>
  <c r="H18" i="25"/>
  <c r="B42" i="24"/>
  <c r="H27" i="25" l="1"/>
  <c r="H34" i="25" s="1"/>
  <c r="H32" i="25"/>
  <c r="H31" i="25" s="1"/>
  <c r="H35" i="25" s="1"/>
  <c r="F45" i="20" l="1"/>
  <c r="F44" i="20"/>
  <c r="F43" i="20"/>
  <c r="B43" i="20"/>
  <c r="G31" i="20" l="1"/>
  <c r="D64" i="15" l="1"/>
  <c r="F64" i="15"/>
  <c r="I64" i="15"/>
  <c r="K64" i="15"/>
  <c r="L64" i="15"/>
  <c r="Q64" i="15"/>
  <c r="L47" i="15"/>
  <c r="F63" i="15"/>
  <c r="I63" i="15"/>
  <c r="K63" i="15"/>
  <c r="L63" i="15"/>
  <c r="R15" i="15"/>
  <c r="S15" i="15"/>
  <c r="P15" i="15"/>
  <c r="Q15" i="15" s="1"/>
  <c r="K15" i="15"/>
  <c r="M15" i="15" s="1"/>
  <c r="F15" i="15"/>
  <c r="H15" i="15" s="1"/>
  <c r="E15" i="15"/>
  <c r="D15" i="15"/>
  <c r="D7" i="18"/>
  <c r="H7" i="18" s="1"/>
  <c r="D8" i="18"/>
  <c r="F8" i="18" s="1"/>
  <c r="G8" i="18" s="1"/>
  <c r="D9" i="18"/>
  <c r="F9" i="18" s="1"/>
  <c r="G9" i="18" s="1"/>
  <c r="D10" i="18"/>
  <c r="F10" i="18" s="1"/>
  <c r="G10" i="18" s="1"/>
  <c r="D11" i="18"/>
  <c r="F11" i="18" s="1"/>
  <c r="G11" i="18" s="1"/>
  <c r="D12" i="18"/>
  <c r="F12" i="18" s="1"/>
  <c r="G12" i="18" s="1"/>
  <c r="D13" i="18"/>
  <c r="F13" i="18" s="1"/>
  <c r="G13" i="18" s="1"/>
  <c r="D14" i="18"/>
  <c r="F14" i="18" s="1"/>
  <c r="G14" i="18" s="1"/>
  <c r="D15" i="18"/>
  <c r="F15" i="18" s="1"/>
  <c r="G15" i="18" s="1"/>
  <c r="D16" i="18"/>
  <c r="F16" i="18" s="1"/>
  <c r="G16" i="18" s="1"/>
  <c r="D17" i="18"/>
  <c r="D18" i="18"/>
  <c r="F18" i="18" s="1"/>
  <c r="G18" i="18" s="1"/>
  <c r="D19" i="18"/>
  <c r="F19" i="18" s="1"/>
  <c r="G19" i="18" s="1"/>
  <c r="D20" i="18"/>
  <c r="F20" i="18" s="1"/>
  <c r="G20" i="18" s="1"/>
  <c r="D21" i="18"/>
  <c r="F21" i="18" s="1"/>
  <c r="G21" i="18" s="1"/>
  <c r="D22" i="18"/>
  <c r="F22" i="18" s="1"/>
  <c r="G22" i="18" s="1"/>
  <c r="D23" i="18"/>
  <c r="F23" i="18" s="1"/>
  <c r="G23" i="18" s="1"/>
  <c r="D24" i="18"/>
  <c r="F24" i="18" s="1"/>
  <c r="G24" i="18" s="1"/>
  <c r="D25" i="18"/>
  <c r="F25" i="18" s="1"/>
  <c r="G25" i="18" s="1"/>
  <c r="D26" i="18"/>
  <c r="F26" i="18" s="1"/>
  <c r="G26" i="18" s="1"/>
  <c r="D27" i="18"/>
  <c r="F27" i="18" s="1"/>
  <c r="G27" i="18" s="1"/>
  <c r="D28" i="18"/>
  <c r="F28" i="18" s="1"/>
  <c r="G28" i="18" s="1"/>
  <c r="D31" i="18"/>
  <c r="F31" i="18" s="1"/>
  <c r="G31" i="18" s="1"/>
  <c r="I32" i="22"/>
  <c r="F32" i="22"/>
  <c r="I31" i="22"/>
  <c r="F31" i="22"/>
  <c r="G30" i="6"/>
  <c r="K30" i="6"/>
  <c r="I30" i="6"/>
  <c r="D30" i="6"/>
  <c r="B31" i="20" s="1"/>
  <c r="D31" i="20" s="1"/>
  <c r="H31" i="20" s="1"/>
  <c r="R7" i="15"/>
  <c r="S7" i="15"/>
  <c r="R14" i="15"/>
  <c r="S14" i="15"/>
  <c r="R13" i="15"/>
  <c r="S13" i="15"/>
  <c r="R12" i="15"/>
  <c r="S12" i="15"/>
  <c r="R11" i="15"/>
  <c r="S11" i="15"/>
  <c r="R10" i="15"/>
  <c r="S10" i="15"/>
  <c r="R9" i="15"/>
  <c r="S9" i="15"/>
  <c r="R8" i="15"/>
  <c r="S8" i="15"/>
  <c r="R6" i="15"/>
  <c r="S6" i="15"/>
  <c r="F19" i="25"/>
  <c r="F24" i="25"/>
  <c r="E21" i="25"/>
  <c r="E19" i="25" s="1"/>
  <c r="D21" i="25"/>
  <c r="D19" i="25" s="1"/>
  <c r="C21" i="25"/>
  <c r="C19" i="25" s="1"/>
  <c r="B21" i="25"/>
  <c r="B19" i="25" s="1"/>
  <c r="I12" i="25"/>
  <c r="I33" i="25" s="1"/>
  <c r="I31" i="25" s="1"/>
  <c r="I24" i="25"/>
  <c r="B12" i="25"/>
  <c r="B33" i="25" s="1"/>
  <c r="G12" i="25"/>
  <c r="G33" i="25" s="1"/>
  <c r="D30" i="24"/>
  <c r="D51" i="24" s="1"/>
  <c r="G29" i="6"/>
  <c r="K29" i="6" s="1"/>
  <c r="B30" i="24"/>
  <c r="G31" i="6"/>
  <c r="B32" i="24" s="1"/>
  <c r="E50" i="24"/>
  <c r="C22" i="24"/>
  <c r="C23" i="24"/>
  <c r="D23" i="24" s="1"/>
  <c r="C24" i="24"/>
  <c r="D24" i="24" s="1"/>
  <c r="C25" i="24"/>
  <c r="D25" i="24" s="1"/>
  <c r="C18" i="24"/>
  <c r="D18" i="24" s="1"/>
  <c r="C21" i="24"/>
  <c r="D21" i="24" s="1"/>
  <c r="B47" i="24"/>
  <c r="D6" i="24"/>
  <c r="H6" i="24"/>
  <c r="D7" i="24"/>
  <c r="H7" i="24"/>
  <c r="C8" i="24"/>
  <c r="D8" i="24" s="1"/>
  <c r="H8" i="24"/>
  <c r="D9" i="24"/>
  <c r="H9" i="24"/>
  <c r="D10" i="24"/>
  <c r="H10" i="24"/>
  <c r="D11" i="24"/>
  <c r="H11" i="24"/>
  <c r="D12" i="24"/>
  <c r="H12" i="24"/>
  <c r="D13" i="24"/>
  <c r="H13" i="24"/>
  <c r="C14" i="24"/>
  <c r="D14" i="24" s="1"/>
  <c r="F14" i="24"/>
  <c r="H14" i="24" s="1"/>
  <c r="C15" i="24"/>
  <c r="D15" i="24" s="1"/>
  <c r="H15" i="24"/>
  <c r="C16" i="24"/>
  <c r="D16" i="24" s="1"/>
  <c r="F16" i="24"/>
  <c r="H16" i="24" s="1"/>
  <c r="C17" i="24"/>
  <c r="D17" i="24" s="1"/>
  <c r="F17" i="24"/>
  <c r="H17" i="24" s="1"/>
  <c r="F18" i="24"/>
  <c r="H18" i="24" s="1"/>
  <c r="D19" i="24"/>
  <c r="F19" i="24"/>
  <c r="H19" i="24" s="1"/>
  <c r="D20" i="24"/>
  <c r="H20" i="24"/>
  <c r="F21" i="24"/>
  <c r="H21" i="24" s="1"/>
  <c r="H22" i="24"/>
  <c r="H23" i="24"/>
  <c r="H24" i="24"/>
  <c r="H25" i="24"/>
  <c r="D26" i="24"/>
  <c r="H26" i="24"/>
  <c r="D27" i="24"/>
  <c r="I27" i="24" s="1"/>
  <c r="J27" i="24" s="1"/>
  <c r="D28" i="24"/>
  <c r="H28" i="24"/>
  <c r="I28" i="24" s="1"/>
  <c r="J28" i="24" s="1"/>
  <c r="D29" i="24"/>
  <c r="I29" i="24" s="1"/>
  <c r="J29" i="24" s="1"/>
  <c r="D29" i="6"/>
  <c r="B30" i="20" s="1"/>
  <c r="G30" i="20"/>
  <c r="G52" i="20" s="1"/>
  <c r="D31" i="6"/>
  <c r="B32" i="20" s="1"/>
  <c r="D32" i="20" s="1"/>
  <c r="H32" i="20" s="1"/>
  <c r="I32" i="20" s="1"/>
  <c r="J51" i="20"/>
  <c r="D63" i="15"/>
  <c r="Q63" i="15"/>
  <c r="F51" i="20"/>
  <c r="D26" i="20"/>
  <c r="H26" i="20" s="1"/>
  <c r="D27" i="20"/>
  <c r="G27" i="20"/>
  <c r="D28" i="20"/>
  <c r="D29" i="20"/>
  <c r="G29" i="20"/>
  <c r="D22" i="20"/>
  <c r="H22" i="20" s="1"/>
  <c r="I22" i="20" s="1"/>
  <c r="D23" i="20"/>
  <c r="H23" i="20" s="1"/>
  <c r="I23" i="20" s="1"/>
  <c r="D24" i="20"/>
  <c r="H24" i="20" s="1"/>
  <c r="I24" i="20" s="1"/>
  <c r="D25" i="20"/>
  <c r="H25" i="20" s="1"/>
  <c r="I25" i="20" s="1"/>
  <c r="C18" i="20"/>
  <c r="C49" i="20" s="1"/>
  <c r="G18" i="20"/>
  <c r="J18" i="20"/>
  <c r="D19" i="20"/>
  <c r="G19" i="20"/>
  <c r="J19" i="20"/>
  <c r="D20" i="20"/>
  <c r="E20" i="20"/>
  <c r="G20" i="20" s="1"/>
  <c r="J20" i="20"/>
  <c r="D21" i="20"/>
  <c r="E21" i="20"/>
  <c r="G21" i="20" s="1"/>
  <c r="J21" i="20"/>
  <c r="J14" i="20"/>
  <c r="J48" i="20"/>
  <c r="J6" i="20"/>
  <c r="J7" i="20"/>
  <c r="J9" i="20"/>
  <c r="J10" i="20"/>
  <c r="J11" i="20"/>
  <c r="J12" i="20"/>
  <c r="E8" i="20"/>
  <c r="G8" i="20" s="1"/>
  <c r="E9" i="20"/>
  <c r="G9" i="20" s="1"/>
  <c r="E10" i="20"/>
  <c r="G10" i="20" s="1"/>
  <c r="E16" i="20"/>
  <c r="E48" i="20" s="1"/>
  <c r="E27" i="20"/>
  <c r="E51" i="20" s="1"/>
  <c r="L46" i="15"/>
  <c r="P14" i="15"/>
  <c r="Q14" i="15" s="1"/>
  <c r="K14" i="15"/>
  <c r="M14" i="15" s="1"/>
  <c r="F14" i="15"/>
  <c r="H14" i="15" s="1"/>
  <c r="E14" i="15"/>
  <c r="D14" i="15"/>
  <c r="D30" i="18"/>
  <c r="F30" i="18" s="1"/>
  <c r="G30" i="18" s="1"/>
  <c r="I30" i="22"/>
  <c r="F30" i="22"/>
  <c r="E24" i="25"/>
  <c r="D12" i="25"/>
  <c r="D33" i="25" s="1"/>
  <c r="C12" i="25"/>
  <c r="C33" i="25" s="1"/>
  <c r="D32" i="25"/>
  <c r="D24" i="25"/>
  <c r="C24" i="25"/>
  <c r="B24" i="25"/>
  <c r="E12" i="25"/>
  <c r="E33" i="25" s="1"/>
  <c r="E32" i="25"/>
  <c r="G32" i="25"/>
  <c r="G24" i="25"/>
  <c r="F12" i="25"/>
  <c r="F33" i="25" s="1"/>
  <c r="G19" i="25"/>
  <c r="G50" i="24"/>
  <c r="F50" i="24"/>
  <c r="C50" i="24"/>
  <c r="B50" i="24"/>
  <c r="B51" i="20"/>
  <c r="C51" i="20"/>
  <c r="Q62" i="15"/>
  <c r="L62" i="15"/>
  <c r="K62" i="15"/>
  <c r="I62" i="15"/>
  <c r="F62" i="15"/>
  <c r="D62" i="15"/>
  <c r="L45" i="15"/>
  <c r="P13" i="15"/>
  <c r="Q13" i="15" s="1"/>
  <c r="K13" i="15"/>
  <c r="M13" i="15" s="1"/>
  <c r="F13" i="15"/>
  <c r="H13" i="15" s="1"/>
  <c r="E13" i="15"/>
  <c r="D13" i="15"/>
  <c r="D29" i="18"/>
  <c r="F29" i="18" s="1"/>
  <c r="G29" i="18" s="1"/>
  <c r="I29" i="23"/>
  <c r="K29" i="22"/>
  <c r="I29" i="22"/>
  <c r="F29" i="22"/>
  <c r="G28" i="6"/>
  <c r="K28" i="6" s="1"/>
  <c r="D28" i="6"/>
  <c r="G18" i="23"/>
  <c r="G15" i="23"/>
  <c r="G14" i="23"/>
  <c r="E10" i="22"/>
  <c r="E11" i="22"/>
  <c r="E16" i="22"/>
  <c r="E15" i="22"/>
  <c r="L11" i="6"/>
  <c r="B49" i="24"/>
  <c r="G49" i="24"/>
  <c r="F49" i="24"/>
  <c r="E49" i="24"/>
  <c r="G48" i="24"/>
  <c r="E48" i="24"/>
  <c r="B48" i="24"/>
  <c r="G47" i="24"/>
  <c r="E47" i="24"/>
  <c r="G42" i="24"/>
  <c r="F42" i="24"/>
  <c r="E42" i="24"/>
  <c r="I28" i="23"/>
  <c r="I26" i="23"/>
  <c r="I25" i="23"/>
  <c r="I24" i="23"/>
  <c r="I23" i="23"/>
  <c r="I22" i="23"/>
  <c r="G21" i="23"/>
  <c r="G20" i="23"/>
  <c r="G19" i="23"/>
  <c r="G17" i="23"/>
  <c r="G16" i="23"/>
  <c r="G13" i="23"/>
  <c r="G12" i="23"/>
  <c r="G11" i="23"/>
  <c r="G10" i="23"/>
  <c r="G9" i="23"/>
  <c r="G8" i="23"/>
  <c r="G7" i="23"/>
  <c r="G6" i="23"/>
  <c r="K28" i="22"/>
  <c r="F28" i="22"/>
  <c r="E28" i="22" s="1"/>
  <c r="K27" i="22"/>
  <c r="I27" i="22"/>
  <c r="F27" i="22"/>
  <c r="K26" i="22"/>
  <c r="I26" i="22"/>
  <c r="F26" i="22"/>
  <c r="K25" i="22"/>
  <c r="I25" i="22"/>
  <c r="F25" i="22"/>
  <c r="K24" i="22"/>
  <c r="I24" i="22"/>
  <c r="F24" i="22"/>
  <c r="E24" i="22" s="1"/>
  <c r="K23" i="22"/>
  <c r="I23" i="22"/>
  <c r="F23" i="22"/>
  <c r="K22" i="22"/>
  <c r="I22" i="22"/>
  <c r="F22" i="22"/>
  <c r="E21" i="22"/>
  <c r="E20" i="22"/>
  <c r="E19" i="22"/>
  <c r="E18" i="22"/>
  <c r="E17" i="22"/>
  <c r="K16" i="22"/>
  <c r="K14" i="22"/>
  <c r="E14" i="22"/>
  <c r="E13" i="22"/>
  <c r="E12" i="22"/>
  <c r="E9" i="22"/>
  <c r="E8" i="22"/>
  <c r="E7" i="22"/>
  <c r="E6" i="22"/>
  <c r="J50" i="20"/>
  <c r="G50" i="20"/>
  <c r="F50" i="20"/>
  <c r="E50" i="20"/>
  <c r="C50" i="20"/>
  <c r="B50" i="20"/>
  <c r="F49" i="20"/>
  <c r="B49" i="20"/>
  <c r="C14" i="20"/>
  <c r="D14" i="20" s="1"/>
  <c r="G14" i="20"/>
  <c r="D15" i="20"/>
  <c r="G15" i="20"/>
  <c r="C16" i="20"/>
  <c r="D16" i="20" s="1"/>
  <c r="D17" i="20"/>
  <c r="G17" i="20"/>
  <c r="F48" i="20"/>
  <c r="B48" i="20"/>
  <c r="G6" i="20"/>
  <c r="G7" i="20"/>
  <c r="G11" i="20"/>
  <c r="G12" i="20"/>
  <c r="G13" i="20"/>
  <c r="C6" i="20"/>
  <c r="D6" i="20" s="1"/>
  <c r="C7" i="20"/>
  <c r="D7" i="20" s="1"/>
  <c r="D8" i="20"/>
  <c r="D9" i="20"/>
  <c r="D10" i="20"/>
  <c r="D11" i="20"/>
  <c r="D12" i="20"/>
  <c r="J13" i="20"/>
  <c r="C13" i="20"/>
  <c r="D13" i="20" s="1"/>
  <c r="F17" i="18"/>
  <c r="G17" i="18" s="1"/>
  <c r="D6" i="18"/>
  <c r="F6" i="18" s="1"/>
  <c r="G6" i="18" s="1"/>
  <c r="D61" i="15"/>
  <c r="F61" i="15"/>
  <c r="I61" i="15"/>
  <c r="K61" i="15"/>
  <c r="Q61" i="15"/>
  <c r="D60" i="15"/>
  <c r="F60" i="15"/>
  <c r="I60" i="15"/>
  <c r="K60" i="15"/>
  <c r="L60" i="15"/>
  <c r="Q60" i="15"/>
  <c r="D59" i="15"/>
  <c r="F59" i="15"/>
  <c r="I59" i="15"/>
  <c r="K59" i="15"/>
  <c r="Q59" i="15"/>
  <c r="D58" i="15"/>
  <c r="F58" i="15"/>
  <c r="I58" i="15"/>
  <c r="K58" i="15"/>
  <c r="Q58" i="15"/>
  <c r="D57" i="15"/>
  <c r="F57" i="15"/>
  <c r="I57" i="15"/>
  <c r="K57" i="15"/>
  <c r="L57" i="15"/>
  <c r="Q57" i="15"/>
  <c r="D56" i="15"/>
  <c r="F56" i="15"/>
  <c r="I56" i="15"/>
  <c r="K56" i="15"/>
  <c r="Q56" i="15"/>
  <c r="D55" i="15"/>
  <c r="F55" i="15"/>
  <c r="I55" i="15"/>
  <c r="K55" i="15"/>
  <c r="Q55" i="15"/>
  <c r="L44" i="15"/>
  <c r="L43" i="15"/>
  <c r="L42" i="15"/>
  <c r="L41" i="15"/>
  <c r="K40" i="15"/>
  <c r="L40" i="15" s="1"/>
  <c r="K39" i="15"/>
  <c r="L39" i="15" s="1"/>
  <c r="L38" i="15"/>
  <c r="P12" i="15"/>
  <c r="Q12" i="15" s="1"/>
  <c r="K12" i="15"/>
  <c r="M12" i="15" s="1"/>
  <c r="F12" i="15"/>
  <c r="H12" i="15" s="1"/>
  <c r="E12" i="15"/>
  <c r="D12" i="15"/>
  <c r="Q11" i="15"/>
  <c r="K11" i="15"/>
  <c r="M11" i="15" s="1"/>
  <c r="F11" i="15"/>
  <c r="H11" i="15" s="1"/>
  <c r="E11" i="15"/>
  <c r="D11" i="15"/>
  <c r="Q10" i="15"/>
  <c r="K10" i="15"/>
  <c r="M10" i="15" s="1"/>
  <c r="F10" i="15"/>
  <c r="H10" i="15" s="1"/>
  <c r="E10" i="15"/>
  <c r="Q9" i="15"/>
  <c r="K9" i="15"/>
  <c r="M9" i="15" s="1"/>
  <c r="F9" i="15"/>
  <c r="H9" i="15" s="1"/>
  <c r="E9" i="15"/>
  <c r="Q8" i="15"/>
  <c r="K8" i="15"/>
  <c r="M8" i="15" s="1"/>
  <c r="F8" i="15"/>
  <c r="H8" i="15" s="1"/>
  <c r="E8" i="15"/>
  <c r="Q7" i="15"/>
  <c r="K7" i="15"/>
  <c r="M7" i="15" s="1"/>
  <c r="F7" i="15"/>
  <c r="H7" i="15" s="1"/>
  <c r="E7" i="15"/>
  <c r="Q6" i="15"/>
  <c r="K6" i="15"/>
  <c r="M6" i="15" s="1"/>
  <c r="F6" i="15"/>
  <c r="H6" i="15" s="1"/>
  <c r="E6" i="15"/>
  <c r="L20" i="6"/>
  <c r="L19" i="6"/>
  <c r="L18" i="6"/>
  <c r="L17" i="6"/>
  <c r="L13" i="6"/>
  <c r="L12" i="6"/>
  <c r="L10" i="6"/>
  <c r="L9" i="6"/>
  <c r="L8" i="6"/>
  <c r="L6" i="6"/>
  <c r="L5" i="6"/>
  <c r="G27" i="6"/>
  <c r="I27" i="6"/>
  <c r="G26" i="6"/>
  <c r="I26" i="6" s="1"/>
  <c r="G25" i="6"/>
  <c r="I25" i="6" s="1"/>
  <c r="G24" i="6"/>
  <c r="I24" i="6" s="1"/>
  <c r="G23" i="6"/>
  <c r="I23" i="6" s="1"/>
  <c r="G22" i="6"/>
  <c r="I22" i="6" s="1"/>
  <c r="G21" i="6"/>
  <c r="I21" i="6" s="1"/>
  <c r="D27" i="6"/>
  <c r="I12" i="6"/>
  <c r="I11" i="6"/>
  <c r="I10" i="6"/>
  <c r="I9" i="6"/>
  <c r="I8" i="6"/>
  <c r="I7" i="6"/>
  <c r="I6" i="6"/>
  <c r="I5" i="6"/>
  <c r="D26" i="6"/>
  <c r="D25" i="6"/>
  <c r="D24" i="6"/>
  <c r="D23" i="6"/>
  <c r="D22" i="6"/>
  <c r="D21" i="6"/>
  <c r="D20" i="6"/>
  <c r="D19" i="6"/>
  <c r="D18" i="6"/>
  <c r="D17" i="6"/>
  <c r="D16" i="6"/>
  <c r="D15" i="6"/>
  <c r="D14" i="6"/>
  <c r="D13" i="6"/>
  <c r="D12" i="6"/>
  <c r="D11" i="6"/>
  <c r="D10" i="6"/>
  <c r="D9" i="6"/>
  <c r="D8" i="6"/>
  <c r="D7" i="6"/>
  <c r="D6" i="6"/>
  <c r="D5" i="6"/>
  <c r="G20" i="6"/>
  <c r="G19" i="6"/>
  <c r="G18" i="6"/>
  <c r="G17" i="6"/>
  <c r="G16" i="6"/>
  <c r="G15" i="6"/>
  <c r="G14" i="6"/>
  <c r="G13" i="6"/>
  <c r="G12" i="6"/>
  <c r="G11" i="6"/>
  <c r="G10" i="6"/>
  <c r="G9" i="6"/>
  <c r="G8" i="6"/>
  <c r="G7" i="6"/>
  <c r="G6" i="6"/>
  <c r="G5" i="6"/>
  <c r="D18" i="20" l="1"/>
  <c r="B45" i="20"/>
  <c r="B44" i="24"/>
  <c r="F18" i="25"/>
  <c r="F27" i="25" s="1"/>
  <c r="F34" i="25" s="1"/>
  <c r="B52" i="20"/>
  <c r="B31" i="24"/>
  <c r="C31" i="24" s="1"/>
  <c r="F32" i="25"/>
  <c r="B18" i="25"/>
  <c r="B27" i="25" s="1"/>
  <c r="B34" i="25" s="1"/>
  <c r="C49" i="24"/>
  <c r="I10" i="24"/>
  <c r="J10" i="24" s="1"/>
  <c r="D22" i="24"/>
  <c r="I22" i="24" s="1"/>
  <c r="J22" i="24" s="1"/>
  <c r="B44" i="20"/>
  <c r="B32" i="25"/>
  <c r="B31" i="25" s="1"/>
  <c r="H50" i="24"/>
  <c r="H17" i="20"/>
  <c r="I17" i="20" s="1"/>
  <c r="G51" i="20"/>
  <c r="E23" i="22"/>
  <c r="I15" i="24"/>
  <c r="J15" i="24" s="1"/>
  <c r="C48" i="24"/>
  <c r="H11" i="20"/>
  <c r="I11" i="20" s="1"/>
  <c r="H12" i="20"/>
  <c r="I12" i="20" s="1"/>
  <c r="N57" i="15"/>
  <c r="R57" i="15" s="1"/>
  <c r="W8" i="15" s="1"/>
  <c r="Y8" i="15" s="1"/>
  <c r="F7" i="18"/>
  <c r="G7" i="18" s="1"/>
  <c r="G18" i="25"/>
  <c r="G27" i="25" s="1"/>
  <c r="G34" i="25" s="1"/>
  <c r="C48" i="20"/>
  <c r="E25" i="22"/>
  <c r="E31" i="25"/>
  <c r="H13" i="20"/>
  <c r="I13" i="20" s="1"/>
  <c r="C42" i="24"/>
  <c r="G16" i="20"/>
  <c r="G45" i="20" s="1"/>
  <c r="H20" i="20"/>
  <c r="I20" i="20" s="1"/>
  <c r="V11" i="15"/>
  <c r="H7" i="20"/>
  <c r="I7" i="20" s="1"/>
  <c r="I24" i="24"/>
  <c r="J24" i="24" s="1"/>
  <c r="H19" i="20"/>
  <c r="I19" i="20" s="1"/>
  <c r="I18" i="24"/>
  <c r="J18" i="24" s="1"/>
  <c r="I29" i="6"/>
  <c r="I28" i="6"/>
  <c r="D18" i="25"/>
  <c r="D27" i="25" s="1"/>
  <c r="D34" i="25" s="1"/>
  <c r="T6" i="15"/>
  <c r="I11" i="24"/>
  <c r="J11" i="24" s="1"/>
  <c r="E49" i="20"/>
  <c r="F48" i="24"/>
  <c r="H42" i="24"/>
  <c r="C18" i="25"/>
  <c r="C27" i="25" s="1"/>
  <c r="C34" i="25" s="1"/>
  <c r="C30" i="24"/>
  <c r="I21" i="24"/>
  <c r="J21" i="24" s="1"/>
  <c r="J49" i="20"/>
  <c r="H49" i="24"/>
  <c r="H21" i="20"/>
  <c r="I21" i="20" s="1"/>
  <c r="D43" i="20"/>
  <c r="H15" i="20"/>
  <c r="I15" i="20" s="1"/>
  <c r="E29" i="22"/>
  <c r="I26" i="24"/>
  <c r="J26" i="24" s="1"/>
  <c r="J50" i="24" s="1"/>
  <c r="V6" i="15"/>
  <c r="H14" i="20"/>
  <c r="I14" i="20" s="1"/>
  <c r="F31" i="25"/>
  <c r="E26" i="22"/>
  <c r="E22" i="22"/>
  <c r="I8" i="24"/>
  <c r="J8" i="24" s="1"/>
  <c r="I23" i="24"/>
  <c r="J23" i="24" s="1"/>
  <c r="E27" i="22"/>
  <c r="J43" i="20"/>
  <c r="I13" i="24"/>
  <c r="J13" i="24" s="1"/>
  <c r="D50" i="24"/>
  <c r="F47" i="24"/>
  <c r="H48" i="24"/>
  <c r="C47" i="24"/>
  <c r="H10" i="20"/>
  <c r="I10" i="20" s="1"/>
  <c r="I7" i="24"/>
  <c r="J7" i="24" s="1"/>
  <c r="H9" i="20"/>
  <c r="I9" i="20" s="1"/>
  <c r="G49" i="20"/>
  <c r="H27" i="20"/>
  <c r="I27" i="20" s="1"/>
  <c r="I12" i="24"/>
  <c r="J12" i="24" s="1"/>
  <c r="D49" i="20"/>
  <c r="I16" i="24"/>
  <c r="J16" i="24" s="1"/>
  <c r="E44" i="20"/>
  <c r="I20" i="24"/>
  <c r="J20" i="24" s="1"/>
  <c r="C45" i="20"/>
  <c r="C43" i="20"/>
  <c r="E45" i="20"/>
  <c r="E43" i="20"/>
  <c r="V8" i="15"/>
  <c r="I25" i="24"/>
  <c r="J25" i="24" s="1"/>
  <c r="H47" i="24"/>
  <c r="I9" i="24"/>
  <c r="J9" i="24" s="1"/>
  <c r="C44" i="20"/>
  <c r="G31" i="25"/>
  <c r="H8" i="18"/>
  <c r="H9" i="18" s="1"/>
  <c r="H10" i="18" s="1"/>
  <c r="H11" i="18" s="1"/>
  <c r="H12" i="18" s="1"/>
  <c r="H13" i="18" s="1"/>
  <c r="H14" i="18" s="1"/>
  <c r="H15" i="18" s="1"/>
  <c r="H16" i="18" s="1"/>
  <c r="H17" i="18" s="1"/>
  <c r="H18" i="18" s="1"/>
  <c r="H19" i="18" s="1"/>
  <c r="H20" i="18" s="1"/>
  <c r="H21" i="18" s="1"/>
  <c r="H22" i="18" s="1"/>
  <c r="H29" i="20"/>
  <c r="I29" i="20" s="1"/>
  <c r="I17" i="24"/>
  <c r="J17" i="24" s="1"/>
  <c r="D48" i="24"/>
  <c r="D42" i="24"/>
  <c r="I14" i="24"/>
  <c r="D51" i="20"/>
  <c r="G43" i="20"/>
  <c r="D50" i="20"/>
  <c r="H8" i="20"/>
  <c r="I8" i="20" s="1"/>
  <c r="D48" i="20"/>
  <c r="H6" i="20"/>
  <c r="H18" i="20"/>
  <c r="I18" i="20" s="1"/>
  <c r="T10" i="15"/>
  <c r="N59" i="15"/>
  <c r="R59" i="15" s="1"/>
  <c r="W10" i="15" s="1"/>
  <c r="Y10" i="15" s="1"/>
  <c r="N55" i="15"/>
  <c r="R55" i="15" s="1"/>
  <c r="W6" i="15" s="1"/>
  <c r="Y6" i="15" s="1"/>
  <c r="V7" i="15"/>
  <c r="N62" i="15"/>
  <c r="R62" i="15" s="1"/>
  <c r="W13" i="15" s="1"/>
  <c r="Y13" i="15" s="1"/>
  <c r="N60" i="15"/>
  <c r="R60" i="15" s="1"/>
  <c r="W11" i="15" s="1"/>
  <c r="Y11" i="15" s="1"/>
  <c r="N58" i="15"/>
  <c r="R58" i="15" s="1"/>
  <c r="W9" i="15" s="1"/>
  <c r="Y9" i="15" s="1"/>
  <c r="N61" i="15"/>
  <c r="R61" i="15" s="1"/>
  <c r="W12" i="15" s="1"/>
  <c r="Y12" i="15" s="1"/>
  <c r="N56" i="15"/>
  <c r="R56" i="15" s="1"/>
  <c r="W7" i="15" s="1"/>
  <c r="Y7" i="15" s="1"/>
  <c r="N63" i="15"/>
  <c r="R63" i="15" s="1"/>
  <c r="W14" i="15" s="1"/>
  <c r="Y14" i="15" s="1"/>
  <c r="N64" i="15"/>
  <c r="R64" i="15" s="1"/>
  <c r="J31" i="20" s="1"/>
  <c r="I31" i="20" s="1"/>
  <c r="V15" i="15"/>
  <c r="V12" i="15"/>
  <c r="T13" i="15"/>
  <c r="T14" i="15"/>
  <c r="T8" i="15"/>
  <c r="T9" i="15"/>
  <c r="T15" i="15"/>
  <c r="T7" i="15"/>
  <c r="V10" i="15"/>
  <c r="T11" i="15"/>
  <c r="T12" i="15"/>
  <c r="V13" i="15"/>
  <c r="V14" i="15"/>
  <c r="V9" i="15"/>
  <c r="K31" i="6"/>
  <c r="I31" i="6"/>
  <c r="D30" i="20"/>
  <c r="D52" i="20" s="1"/>
  <c r="I18" i="25"/>
  <c r="I27" i="25" s="1"/>
  <c r="I34" i="25" s="1"/>
  <c r="I35" i="25" s="1"/>
  <c r="D31" i="25"/>
  <c r="E18" i="25"/>
  <c r="E27" i="25" s="1"/>
  <c r="E34" i="25" s="1"/>
  <c r="C32" i="25"/>
  <c r="C31" i="25" s="1"/>
  <c r="I19" i="24"/>
  <c r="J19" i="24" s="1"/>
  <c r="I6" i="24"/>
  <c r="D47" i="24"/>
  <c r="I50" i="20"/>
  <c r="H50" i="20"/>
  <c r="H28" i="20"/>
  <c r="I28" i="20" s="1"/>
  <c r="I26" i="20"/>
  <c r="D44" i="24" l="1"/>
  <c r="B43" i="24"/>
  <c r="G44" i="20"/>
  <c r="B51" i="24"/>
  <c r="D43" i="24"/>
  <c r="C51" i="24"/>
  <c r="D49" i="24"/>
  <c r="H16" i="20"/>
  <c r="I16" i="20" s="1"/>
  <c r="I48" i="20" s="1"/>
  <c r="G48" i="20"/>
  <c r="E35" i="25"/>
  <c r="B35" i="25"/>
  <c r="C44" i="24"/>
  <c r="J49" i="24"/>
  <c r="G35" i="25"/>
  <c r="I47" i="24"/>
  <c r="C35" i="25"/>
  <c r="D35" i="25"/>
  <c r="C43" i="24"/>
  <c r="H23" i="18"/>
  <c r="H24" i="18" s="1"/>
  <c r="H25" i="18" s="1"/>
  <c r="H26" i="18" s="1"/>
  <c r="H27" i="18" s="1"/>
  <c r="F35" i="25"/>
  <c r="I49" i="20"/>
  <c r="I50" i="24"/>
  <c r="I49" i="24"/>
  <c r="J14" i="24"/>
  <c r="J47" i="24" s="1"/>
  <c r="I51" i="20"/>
  <c r="I6" i="20"/>
  <c r="I43" i="20" s="1"/>
  <c r="H43" i="20"/>
  <c r="H49" i="20"/>
  <c r="H51" i="20"/>
  <c r="W15" i="15"/>
  <c r="Y15" i="15" s="1"/>
  <c r="J30" i="20"/>
  <c r="J52" i="20" s="1"/>
  <c r="H30" i="20"/>
  <c r="H52" i="20" s="1"/>
  <c r="D45" i="20"/>
  <c r="D44" i="20"/>
  <c r="J6" i="24"/>
  <c r="J42" i="24" s="1"/>
  <c r="I42" i="24"/>
  <c r="I48" i="24"/>
  <c r="J48" i="24"/>
  <c r="H48" i="20" l="1"/>
  <c r="J45" i="20"/>
  <c r="J44" i="20"/>
  <c r="H29" i="18"/>
  <c r="H28" i="18"/>
  <c r="H45" i="20"/>
  <c r="H44" i="20"/>
  <c r="I30" i="20"/>
  <c r="I52" i="20" s="1"/>
  <c r="H31" i="18" l="1"/>
  <c r="H33" i="18" s="1"/>
  <c r="H30" i="18"/>
  <c r="I45" i="20"/>
  <c r="I44" i="20"/>
  <c r="I30" i="24" l="1"/>
  <c r="I31" i="24"/>
  <c r="J31" i="24" s="1"/>
  <c r="H43" i="24"/>
  <c r="H44" i="24"/>
  <c r="F43" i="24"/>
  <c r="F44" i="24"/>
  <c r="J30" i="24" l="1"/>
  <c r="J51" i="24" s="1"/>
  <c r="I51" i="24"/>
  <c r="I44" i="24"/>
  <c r="I43" i="24"/>
  <c r="J44" i="24" l="1"/>
  <c r="J43" i="24"/>
</calcChain>
</file>

<file path=xl/sharedStrings.xml><?xml version="1.0" encoding="utf-8"?>
<sst xmlns="http://schemas.openxmlformats.org/spreadsheetml/2006/main" count="463" uniqueCount="380">
  <si>
    <t>(- = Nettovermögen)</t>
  </si>
  <si>
    <t>Ergebnis</t>
  </si>
  <si>
    <t>Selbst-finanzierung</t>
  </si>
  <si>
    <t>Finanzierungs-saldo</t>
  </si>
  <si>
    <t>Jahr</t>
  </si>
  <si>
    <t>Schlüsselgrössen Finanzhaushalt Kanton Graubünden seit 1997</t>
  </si>
  <si>
    <t>HRM2-Kennzahlen Kanton Graubünden seit 2013</t>
  </si>
  <si>
    <t>Selbstfinanzierungsgrad</t>
  </si>
  <si>
    <t>Selbstfinanzierungsanteil</t>
  </si>
  <si>
    <t>Nettoverschuldungsquotient</t>
  </si>
  <si>
    <t>Zinsbelastungsanteil</t>
  </si>
  <si>
    <t>Einwohner</t>
  </si>
  <si>
    <t>Laufender Ertrag</t>
  </si>
  <si>
    <t>Zahlen gemäss Berechnungsart ab 2017 (2013-2016 Restatement)</t>
  </si>
  <si>
    <t>Schlüsselgrössen Spezialfinanzierung Strassen Kanton Graubünden seit 1997</t>
  </si>
  <si>
    <t>(- = Schuld)</t>
  </si>
  <si>
    <t xml:space="preserve">Netto-investitionen </t>
  </si>
  <si>
    <t>Selbstfinanz-ierungsgrad</t>
  </si>
  <si>
    <t>Selbstfinanz-ierungsanteil</t>
  </si>
  <si>
    <t>Nettoverschuld-ungsquotient</t>
  </si>
  <si>
    <t>Zinsbelast-ungsanteil</t>
  </si>
  <si>
    <t>kantonale Staatsquote</t>
  </si>
  <si>
    <t>Bemerkungen zur 2. Stufe</t>
  </si>
  <si>
    <t>Bemerkungen zur 1. Stufe</t>
  </si>
  <si>
    <t>Gesamt-ergebnis
(3. Stufe)</t>
  </si>
  <si>
    <r>
      <rPr>
        <vertAlign val="superscript"/>
        <sz val="10"/>
        <rFont val="Arial Narrow"/>
        <family val="2"/>
      </rPr>
      <t>2)</t>
    </r>
    <r>
      <rPr>
        <sz val="10"/>
        <rFont val="Arial Narrow"/>
        <family val="2"/>
      </rPr>
      <t xml:space="preserve"> Budget ohne Nachtragskredite</t>
    </r>
  </si>
  <si>
    <r>
      <rPr>
        <vertAlign val="superscript"/>
        <sz val="10"/>
        <rFont val="Arial Narrow"/>
        <family val="2"/>
      </rPr>
      <t xml:space="preserve">3) </t>
    </r>
    <r>
      <rPr>
        <sz val="10"/>
        <rFont val="Arial Narrow"/>
        <family val="2"/>
      </rPr>
      <t>Einführung HRM2</t>
    </r>
  </si>
  <si>
    <t>Ergebnisse Investitionsrechnung Kanton Graubünden seit 1997</t>
  </si>
  <si>
    <t>Abweichung</t>
  </si>
  <si>
    <t>RE / BU 
Ergebnis</t>
  </si>
  <si>
    <t>Jahresrechnung (RE)</t>
  </si>
  <si>
    <t>in % der Ausgaben</t>
  </si>
  <si>
    <t>Ergebnisse Erfolgsrechnung Kanton Graubünden seit 1997</t>
  </si>
  <si>
    <r>
      <t>Budget</t>
    </r>
    <r>
      <rPr>
        <b/>
        <vertAlign val="superscript"/>
        <sz val="10"/>
        <color theme="1"/>
        <rFont val="Arial Narrow"/>
        <family val="2"/>
      </rPr>
      <t>2)</t>
    </r>
    <r>
      <rPr>
        <b/>
        <sz val="10"/>
        <color theme="1"/>
        <rFont val="Arial Narrow"/>
        <family val="2"/>
      </rPr>
      <t xml:space="preserve"> (BU) </t>
    </r>
  </si>
  <si>
    <r>
      <t>2012</t>
    </r>
    <r>
      <rPr>
        <b/>
        <vertAlign val="superscript"/>
        <sz val="10"/>
        <rFont val="Arial Narrow"/>
        <family val="2"/>
      </rPr>
      <t>1)</t>
    </r>
  </si>
  <si>
    <r>
      <rPr>
        <vertAlign val="superscript"/>
        <sz val="10"/>
        <rFont val="Arial Narrow"/>
        <family val="2"/>
      </rPr>
      <t xml:space="preserve">1) </t>
    </r>
    <r>
      <rPr>
        <sz val="10"/>
        <rFont val="Arial Narrow"/>
        <family val="2"/>
      </rPr>
      <t>bis 2012: ordentliches Ergebnis / Budget Laufende Rechnung</t>
    </r>
  </si>
  <si>
    <t>RE</t>
  </si>
  <si>
    <t>Richtwerte</t>
  </si>
  <si>
    <t>Aussage</t>
  </si>
  <si>
    <t>Bemerkung</t>
  </si>
  <si>
    <t>Hochkonjunktur &gt; 100 %, 
Normalfall 80 bis 100 %, 
Abschwung 50 bis 79 %, 
Ungenügend &lt; 50 %</t>
  </si>
  <si>
    <t xml:space="preserve">Der Selbstfinanzierungsgrad zeigt den Anteil der Nettoinvestitionen, den der Kanton aus eigenen Mitteln finanzieren kann. </t>
  </si>
  <si>
    <t>&gt; 20 % = gut,
10 bis 20 % = mittel,
&lt; 10 % = schlecht</t>
  </si>
  <si>
    <t xml:space="preserve">Die Kennzahlen werden unter Berücksichtigung des buchwirksamen, ausserordentlichen Finanzaufwands/-ertrags berechnet. Die Selbstfinanzierung enthält die ausserordentlichen Wertberichtigungen auf Finanzanlagen (Kontengruppen 3841/4841). Das verbessert die Aussagekraft dieser Kennzahlen. </t>
  </si>
  <si>
    <t>&lt; 0 % = sehr gut,
0 bis 100 % = gut,
100 bis 150 % = genügend,
&gt; 150 % = schlecht</t>
  </si>
  <si>
    <t>Gibt an, welcher Anteil der Steuererträge erforderlich wäre, um die Nettoschuld abzutragen.</t>
  </si>
  <si>
    <t>Formel</t>
  </si>
  <si>
    <t>Selbstfinanzierung x 100</t>
  </si>
  <si>
    <t>Nettoinvestitionen</t>
  </si>
  <si>
    <t>&lt; 0 % = sehr gut,
0 bis 4 % = gut,
4,1 bis 9 % = genügend,
&gt; 9 % = schlecht</t>
  </si>
  <si>
    <t>Anteil des «verfügbaren Einkommens», welcher durch den Nettozinsaufwand gebunden ist. Je tiefer der Wert, desto grösser der Handlungsspielraum.</t>
  </si>
  <si>
    <t xml:space="preserve">Aufgrund der unverändert guten Liquiditätslage und des tiefen Fremdkapitals übersteigt der Zinsertrag die Zinsaufwendungen trotz Niedrigzinsumfelds und Negativzinsen. </t>
  </si>
  <si>
    <t>Erläuterungen</t>
  </si>
  <si>
    <t>&lt; 0 Franken = Nettovermögen,
0 bis 1000 Franken geringe Verschuldung,
1001 bis 2500 Franken = mittlere Verschuldung,
&gt; 2500 Franken = hohe Verschuldung</t>
  </si>
  <si>
    <t>Gesamtausgaben x 100</t>
  </si>
  <si>
    <t>Bruttoinlandprodukt (BIP)</t>
  </si>
  <si>
    <t>Stellt die kantonalen Gesamtausgaben im Verhältnis zum nominalen Bündner Bruttoinlandprodukt (BIP) dar.</t>
  </si>
  <si>
    <t>Je nach Abweichungen des tatsächlichen BIP gemäss BFS vom geschätzten BIP verändert sich die Kennzahl rückwirkend.</t>
  </si>
  <si>
    <t>sonderfinanzierte Darlehen an LKG (RE 0,1 Mio. BU 6,0 Mio.)</t>
  </si>
  <si>
    <t>sonderfinanzierte Darlehen an LKG (RE 0,1 Mio. BU 4,0 Mio.)</t>
  </si>
  <si>
    <t>vom Bund finanzierte Darlehen (LKG RE 4,2 Mio. BU 4,4 Mio., NRP netto RE 4,8 Mio. BU 7,7 Mio., Waldgesetz netto RE -0,24 Mio. BU 0,14 Mio.), vom RW ausgenommene Vorhaben (Sinergia RE 5,0 Mio. BU 6,5 Mio.), RE: zusätzlich Erhöhung Beteiligung REPower 86 Mio.</t>
  </si>
  <si>
    <t>sonderfinanzierte Darlehen an LKG (RE 7,6 Mio., BU 4,0 Mio.) und Darlehensrückzahlungen der ALV (RE -28,1 Mio. BU -17,1 Mio.)</t>
  </si>
  <si>
    <t>sonderfinanzierte Darlehen an LKG (RE 8,1 Mio. BU 6,0 Mio.) und Darlehensrückzahlungen der ALV (RE -14,4 Mio. BU -11,5 Mio.)</t>
  </si>
  <si>
    <t>Anteil am Deckungsfehlbetrag der KPG (RE 381,3 Mio. BU 400 Mio.), bereinigt: Darlehen an LKG (RE 1,1 Mio. BU 1 Mio.)</t>
  </si>
  <si>
    <t>vom Bund finanzierte Darlehen (LKG RE 6,9 Mio. BU 4,6 Mio., bereinigt: NRP netto RE 5,6 Mio. BU 8,8 Mio. und Waldgesetz netto RE -0,6 Mio. BU 0 Mio. )</t>
  </si>
  <si>
    <t xml:space="preserve">vom Bund finanzierte Darlehen (LKG RE 0, BU 4,4 Mio., NRP netto RE 0,7 Mio. BU 5,0 Mio., IK Waldgesetz netto RE -0,4 Mio. BU 0,3 Mio.), vom RW ausgenommene Vorhaben (vorfinanzierter IB Bau Albulatunnel RE 8,4 Mio. BU 8,0 Mio., Sinergia RE 3,1 Mio. BU 5,0 Mio.) </t>
  </si>
  <si>
    <t>vom Bund fin. Darl. (LKG RE 0,4 Mio. BU 4,4 Mio., NRP netto RE 4,7 Mio. BU 4,9 Mio., IK Waldg. netto RE 0,3 Mio. BU 0,3 Mio.), vom RW ausgen.Vorh. (Sinergia RE 1,6 Mio. BU 6,0 Mio., JVA Cazis netto RE 4,5 Mio. BU 8,9 Mio, Erschliessungskosten Sägereiareal Domat/Ems RE 0,8 Mio. BU 0), BU umstellungsbedingt: IB priv. Mittelschulen 3,7 Mio., BIF 16,0 Mio., baul. Unterh. Liegensch. VV 6,8 Mio.</t>
  </si>
  <si>
    <t>ausgewählte Aufwandgruppen der Erfolgsrechnung Kanton Graubünden seit 1997</t>
  </si>
  <si>
    <t>ausgewählte Ertragsgruppen der Erfolgsrechnung Kanton Graubünden seit 1997</t>
  </si>
  <si>
    <r>
      <rPr>
        <vertAlign val="superscript"/>
        <sz val="10"/>
        <rFont val="Arial Narrow"/>
        <family val="2"/>
      </rPr>
      <t>1)</t>
    </r>
    <r>
      <rPr>
        <sz val="10"/>
        <rFont val="Arial Narrow"/>
        <family val="2"/>
      </rPr>
      <t xml:space="preserve"> Investitionsausgaben minus Investitionseinnahmen</t>
    </r>
  </si>
  <si>
    <r>
      <t xml:space="preserve">Budget </t>
    </r>
    <r>
      <rPr>
        <b/>
        <vertAlign val="superscript"/>
        <sz val="10"/>
        <color theme="1"/>
        <rFont val="Arial Narrow"/>
        <family val="2"/>
      </rPr>
      <t xml:space="preserve">3) </t>
    </r>
    <r>
      <rPr>
        <b/>
        <sz val="10"/>
        <color theme="1"/>
        <rFont val="Arial Narrow"/>
        <family val="2"/>
      </rPr>
      <t>(BU)</t>
    </r>
  </si>
  <si>
    <r>
      <rPr>
        <vertAlign val="superscript"/>
        <sz val="10"/>
        <rFont val="Arial Narrow"/>
        <family val="2"/>
      </rPr>
      <t>3)</t>
    </r>
    <r>
      <rPr>
        <sz val="10"/>
        <rFont val="Arial Narrow"/>
        <family val="2"/>
      </rPr>
      <t xml:space="preserve"> Budget ohne Nachtragskredite</t>
    </r>
  </si>
  <si>
    <r>
      <rPr>
        <vertAlign val="superscript"/>
        <sz val="10"/>
        <rFont val="Arial Narrow"/>
        <family val="2"/>
      </rPr>
      <t>2)</t>
    </r>
    <r>
      <rPr>
        <sz val="10"/>
        <rFont val="Arial Narrow"/>
        <family val="2"/>
      </rPr>
      <t xml:space="preserve"> bis 2012 Nettoinvestitionen bereinigt um ausserordentliche Investitionen, ab 2013 richtwertrelelevante Nettoinvestitionen</t>
    </r>
  </si>
  <si>
    <t>Bemerkungen zu nicht richtwertrelevanten Nettoinvestitionen</t>
  </si>
  <si>
    <t>3 Gesamt-aufwand</t>
  </si>
  <si>
    <t>4 Gesamt-ertrag</t>
  </si>
  <si>
    <t>5 Investitions-ausgaben</t>
  </si>
  <si>
    <t>6 Investitions-einnahmen</t>
  </si>
  <si>
    <t>2900.6200 Vermögens-stand</t>
  </si>
  <si>
    <t>20 Fremd-
kapital</t>
  </si>
  <si>
    <t>10 Finanz-vermögen</t>
  </si>
  <si>
    <t>40 Fiskal-ertrag</t>
  </si>
  <si>
    <t>(20 Fremdkapital - 10 Finanzvermögen) x 100</t>
  </si>
  <si>
    <t>40 Fiskalertrag</t>
  </si>
  <si>
    <t>340 Zins-aufwand</t>
  </si>
  <si>
    <t>440 Zins-
ertrag</t>
  </si>
  <si>
    <t>(340 Zinsaufwand - 440 Zinsertrag) x 100</t>
  </si>
  <si>
    <t>20 Fremdkapital - 10 Finanzvermögen</t>
  </si>
  <si>
    <r>
      <t>Laufender Ertrag</t>
    </r>
    <r>
      <rPr>
        <b/>
        <vertAlign val="superscript"/>
        <sz val="10"/>
        <color theme="1"/>
        <rFont val="Arial Narrow"/>
        <family val="2"/>
      </rPr>
      <t>1)</t>
    </r>
  </si>
  <si>
    <t>Durchschnittswerte (Ø) pro vierjährige Regierungsprogrammperiode (RP)</t>
  </si>
  <si>
    <t>Ø RP
 09-12</t>
  </si>
  <si>
    <t>Ø RP
 13-16</t>
  </si>
  <si>
    <t>Ø  RP 17-20</t>
  </si>
  <si>
    <r>
      <t>Gesamt-ergebnis</t>
    </r>
    <r>
      <rPr>
        <b/>
        <vertAlign val="superscript"/>
        <sz val="10"/>
        <color theme="1"/>
        <rFont val="Arial Narrow"/>
        <family val="2"/>
      </rPr>
      <t>1)</t>
    </r>
  </si>
  <si>
    <r>
      <t xml:space="preserve">Nettoinvesti-tionen I </t>
    </r>
    <r>
      <rPr>
        <b/>
        <vertAlign val="superscript"/>
        <sz val="10"/>
        <color theme="1"/>
        <rFont val="Arial Narrow"/>
        <family val="2"/>
      </rPr>
      <t>2)</t>
    </r>
  </si>
  <si>
    <r>
      <t xml:space="preserve">Nettoinvesti-tionen II </t>
    </r>
    <r>
      <rPr>
        <b/>
        <vertAlign val="superscript"/>
        <sz val="10"/>
        <color theme="1"/>
        <rFont val="Arial Narrow"/>
        <family val="2"/>
      </rPr>
      <t>3)</t>
    </r>
  </si>
  <si>
    <r>
      <t>Finanzierungs-saldo</t>
    </r>
    <r>
      <rPr>
        <b/>
        <vertAlign val="superscript"/>
        <sz val="10"/>
        <color theme="1"/>
        <rFont val="Arial Narrow"/>
        <family val="2"/>
      </rPr>
      <t>4)</t>
    </r>
  </si>
  <si>
    <r>
      <t>Selbst-finanzierung</t>
    </r>
    <r>
      <rPr>
        <b/>
        <vertAlign val="superscript"/>
        <sz val="10"/>
        <color theme="1"/>
        <rFont val="Arial Narrow"/>
        <family val="2"/>
      </rPr>
      <t>5)</t>
    </r>
  </si>
  <si>
    <r>
      <t>Selbstfinan-zierungsgrad</t>
    </r>
    <r>
      <rPr>
        <b/>
        <vertAlign val="superscript"/>
        <sz val="10"/>
        <color theme="1"/>
        <rFont val="Arial Narrow"/>
        <family val="2"/>
      </rPr>
      <t>6)</t>
    </r>
  </si>
  <si>
    <r>
      <t>2013</t>
    </r>
    <r>
      <rPr>
        <b/>
        <vertAlign val="superscript"/>
        <sz val="10"/>
        <rFont val="Arial Narrow"/>
        <family val="2"/>
      </rPr>
      <t>3)</t>
    </r>
  </si>
  <si>
    <t>sonderfinanzierte Darlehen an ALV (RE 22,3 Mio., BU 0) und Darlehensrückzahlungen der ALV (RE 0, BU -4,1 Mio.)</t>
  </si>
  <si>
    <t>sonderfinanzierte Darlehen an ALV (RE 29,1 Mio. BU 5,9 Mio.) und Darlehensrückzahlungen der ALV (RE -8,4 Mio., BU 0)</t>
  </si>
  <si>
    <t>sonderfinanzierte Darlehen an LKG (RE 1,2 Mio., BU 0) und Darlehensrückzahlungen der ALV (RE -9,6 Mio., BU 0)</t>
  </si>
  <si>
    <t>sonderfinanzierte Darlehen an LKG (RE 6,6 Mio., BU 0) und Darlehensrückzahlungen der ALV (RE -19,0 Mio. BU -2,4 Mio.)</t>
  </si>
  <si>
    <t>bereinigt: vom Bund finanzierte Darlehen (LKG RE 0,3 Mio. BU 1,0 Mio., NRP RE 1,7 Mio. BU 3,0 Mio. ) und a.o. Gratiserwerb Beteiligung KW Zervreila (RE 6,3 Mio. BU 0). In Nettoinvest. II enthalten sind die RE-Botschaft erwähnten zusätzlichen IB von 9 Mio. an BGS, zusätzl. NFA-bedingten IB von 11,4 Mio. im Forst und Darlehen gem. GWE von 1,3 Mio.</t>
  </si>
  <si>
    <t>vom Bund finanzierte Darlehen (LKG RE 2,4 Mio. BU 4,6 Mio., NRP netto RE 5,5 Mio. BU 7,8 Mio., Waldgesetz netto RE -0,24 Mio. BU 0,15 Mio.)</t>
  </si>
  <si>
    <t xml:space="preserve">vom Bund finanzierte Darlehen (LKG RE 0,4 Mio. BU 4,4 Mio., NRP netto RE 1,2 Mio. BU 5,0 Mio., IK Waldgesetz netto RE -0,1 Mio. BU 0,2 Mio.), vom RW ausgenommene Vorhaben (Sinergia RE 0,1 Mio. BU 7,1 Mio.) </t>
  </si>
  <si>
    <t xml:space="preserve">vom Bund finanzierte Darlehen (LKG RE 0,4 Mio. BU 4,4 Mio., NRP netto RE  1,3 Mio. BU 4,7 Mio., IK Waldgesetz netto RE -0,3 Mio. BU 0,8 Mio.), vom RW ausgenommene Vorhaben (vorfinanzierter IB Bau Albulatunnel RE 3,5 Mio. BU 0, Sinergia RE 0,5 Mio. BU 2,8 Mio.) </t>
  </si>
  <si>
    <t>vom Bund finanzierte Darlehen (LKG RE -0,0 Mio. BU 0,3 Mio, NRP netto RE 0,8 Mio. BU 4,3 Mio., IK Waldgesetz netto RE -0,2 Mio. BU 0,2 Mio.), vom RW ausgenommene Vorhaben (Grundstücke, Baurechte und Erschliessungen gem. GWE netto RE -1,3 Mio. BU 1,1 Mio., VK systemrelevante Infrastrukturen RE 4,5 Mio. BU 11 Mio., Sinergia RE 12,4 Mio. BU 13,5 Mio., JVA Cazis Tignez netto RE 4,7 Mio. BU 14,5 Mio., SF Strassen RE 54,1 Mio. BU 77,0 Mio, Impulsprogramm Hochbau- und Wald  netto RE 2,3 Mio. BU 2,3 Mio.)</t>
  </si>
  <si>
    <t>vom Bund fin. Darl. (LKG RE 0, BU 2,4 Mio., NRP netto RE 1,8 Mio., BU 7,3 Mio., IK Waldg. netto RE -0,5 Mio., BU 0,3 Mio.), vom RW ausgen. Vorh. (Sägereiareal Domat/Ems RE 3,3 Mio., BU 5,0 Mio, VK systemrelevante Infrastrukturen RE 2,6 Mio., BU 3,3 Mio., Sinergia RE 9,6 Mio., BU 9,0 Mio., JVA Cazis Tignez netto RE 17,9 Mio., BU 18,2 Mio, SF Strassen RE netto 57,0 Mio., BU 67,8 Mio, Impulsprogramm Hochbau- und Wald  netto RE 3,4 Mio, BU 3,8 Mio.)</t>
  </si>
  <si>
    <t>vom Bund fin. Darl. (LKG RE 0, BU 2,4 Mio., NRP netto RE 1,6 Mio. BU 4,6 Mio., IK Waldgesetz netto RE - 0,6 Mio. BU 0,2 Mio.), vom RW ausgenommene Vorhaben (Sägereiareal Domat/Ems RE 1,5 Mio. BU 5,5 Mio, VK systemrelevante Infrastrukturen RE 6,4 Mio. BU 6,0 Mio., Sinergia RE 15,5 Mio. BU 19,0 Mio., JVA Cazis Tignez netto RE 24,9 Mio. BU 28,9 Mio, SF Strassen RE 52,3 Mio. BU 68,3 Mio, Impulsprogramm Hochbau- und Wald netto RE 3,5 Mio BU 2,9 Mio.)</t>
  </si>
  <si>
    <t>vom Bund finanzierte Darlehen (NRP netto RE -0,5 Mio. BU 3,9 Mio., IK Waldgesetz netto RE 0 BU 0,3 Mio.), vom RW ausgenommene Vorhaben (Grundstücke, Baurechte und Erschliessungen gem. GWE netto RE 1,7 Mio. BU 2,0 Mio., VK systemrelevante Infrastrukturen RE 4,8 Mio. BU 10,0 Mio., Sinergia RE 24,0 Mio. BU 24,0 Mio., JVA Cazis Tignez netto RE 25,2 Mio. BU 23,1 Mio., SF Strassen netto RE 49,0 Mio. BU 77,5 Mio, Impulsprogramm Hochbau- und Wald  netto RE 2,4 Mio. BU 2,4 Mio.)</t>
  </si>
  <si>
    <t>Selbst-finanzierung*</t>
  </si>
  <si>
    <t>Gesamt-ausgaben**</t>
  </si>
  <si>
    <t>RE 2013</t>
  </si>
  <si>
    <t>RE 2014</t>
  </si>
  <si>
    <t>RE 2015</t>
  </si>
  <si>
    <t>RE 2016</t>
  </si>
  <si>
    <t>RE 2017</t>
  </si>
  <si>
    <t>RE 2018</t>
  </si>
  <si>
    <t>RE 2019</t>
  </si>
  <si>
    <t>RE 2020</t>
  </si>
  <si>
    <t>Selbstfinanzierung</t>
  </si>
  <si>
    <t xml:space="preserve">
Gesamt-ergebnis ER (3. Stufe)</t>
  </si>
  <si>
    <t>+
Abschreibung VV
 (33)</t>
  </si>
  <si>
    <t>+
Einlagen in Fonds und SF (35)</t>
  </si>
  <si>
    <t>-
Entnahmen aus Fonds und SF (45)</t>
  </si>
  <si>
    <t>+
Wertberichtig. Darlehen VV (364)</t>
  </si>
  <si>
    <t>+
Abschreib. Invest.-beitr. (366)</t>
  </si>
  <si>
    <t>+
 Einlagen Eigenkapital (389)</t>
  </si>
  <si>
    <t>-
 Entn. Eigenkap. (489)</t>
  </si>
  <si>
    <t>+
 buchw. a.o. Finanzaufw. (5111.3841)</t>
  </si>
  <si>
    <t>-
buchw. a.o. Finanzertrag (5111.4841)</t>
  </si>
  <si>
    <t>+ Laufende Ausgaben</t>
  </si>
  <si>
    <t>+ Bruttoinvestitionen</t>
  </si>
  <si>
    <t>=</t>
  </si>
  <si>
    <t>+
Aufwand
ER
 (3)</t>
  </si>
  <si>
    <t>-
Wertbericht. Forderungen (3180)</t>
  </si>
  <si>
    <t>- 
Abschreib.
VV
 (33)</t>
  </si>
  <si>
    <t>- 
Wertbericht.
Anlagen FV
 (344)</t>
  </si>
  <si>
    <t>-
Einlagen in 
Fonds u. SF
(35)</t>
  </si>
  <si>
    <t>- 
Ertragsant. Zuschl.St. (5315.360)</t>
  </si>
  <si>
    <t>-
Wertbericht. Darl. + Bet. VV
(364, 365)</t>
  </si>
  <si>
    <t>- 
Abschreib. Invest. Beitr.
(366)</t>
  </si>
  <si>
    <t>-
Durchlauf. Beiträge
(37)</t>
  </si>
  <si>
    <t>-
buchw. a.o. Finanzaufw.
(5111.3841)</t>
  </si>
  <si>
    <t>-
Einlagen Eigenkapital (389)</t>
  </si>
  <si>
    <t>-
interne Verrechnungen
(39)</t>
  </si>
  <si>
    <t xml:space="preserve">=
Laufende Ausgaben
</t>
  </si>
  <si>
    <t>+ Ausgaben IR 
(5)</t>
  </si>
  <si>
    <t>-
Durchl. Invest.Beitr.
(57)</t>
  </si>
  <si>
    <t xml:space="preserve">=
Brutto-investitionen
</t>
  </si>
  <si>
    <t xml:space="preserve">
Gesamt-ausgaben</t>
  </si>
  <si>
    <r>
      <t>in % der Gesamt-ausgaben</t>
    </r>
    <r>
      <rPr>
        <b/>
        <vertAlign val="superscript"/>
        <sz val="10"/>
        <color theme="1"/>
        <rFont val="Arial Narrow"/>
        <family val="2"/>
      </rPr>
      <t>4)</t>
    </r>
  </si>
  <si>
    <r>
      <t>Gesamt-ausgaben</t>
    </r>
    <r>
      <rPr>
        <b/>
        <vertAlign val="superscript"/>
        <sz val="10"/>
        <color theme="1"/>
        <rFont val="Arial Narrow"/>
        <family val="2"/>
      </rPr>
      <t>4)</t>
    </r>
  </si>
  <si>
    <r>
      <t>Gesamt-ausgaben</t>
    </r>
    <r>
      <rPr>
        <b/>
        <vertAlign val="superscript"/>
        <sz val="10"/>
        <color theme="1"/>
        <rFont val="Arial Narrow"/>
        <family val="2"/>
      </rPr>
      <t>7)</t>
    </r>
  </si>
  <si>
    <r>
      <t>Brutto-schulden</t>
    </r>
    <r>
      <rPr>
        <b/>
        <vertAlign val="superscript"/>
        <sz val="10"/>
        <color theme="1"/>
        <rFont val="Arial Narrow"/>
        <family val="2"/>
      </rPr>
      <t>8)</t>
    </r>
  </si>
  <si>
    <r>
      <t xml:space="preserve">Netto-schulden I </t>
    </r>
    <r>
      <rPr>
        <b/>
        <vertAlign val="superscript"/>
        <sz val="10"/>
        <color theme="1"/>
        <rFont val="Arial Narrow"/>
        <family val="2"/>
      </rPr>
      <t>9)</t>
    </r>
  </si>
  <si>
    <r>
      <t xml:space="preserve">Netto-schulden II </t>
    </r>
    <r>
      <rPr>
        <b/>
        <vertAlign val="superscript"/>
        <sz val="10"/>
        <color theme="1"/>
        <rFont val="Arial Narrow"/>
        <family val="2"/>
      </rPr>
      <t>10)</t>
    </r>
  </si>
  <si>
    <r>
      <t>29 Gesamt-Eigenkapital</t>
    </r>
    <r>
      <rPr>
        <b/>
        <vertAlign val="superscript"/>
        <sz val="10"/>
        <color theme="1"/>
        <rFont val="Arial Narrow"/>
        <family val="2"/>
      </rPr>
      <t>11)</t>
    </r>
  </si>
  <si>
    <r>
      <t>2013</t>
    </r>
    <r>
      <rPr>
        <b/>
        <vertAlign val="superscript"/>
        <sz val="10"/>
        <color theme="1"/>
        <rFont val="Arial Narrow"/>
        <family val="2"/>
      </rPr>
      <t>1)</t>
    </r>
  </si>
  <si>
    <t>Jahresrechnung</t>
  </si>
  <si>
    <r>
      <t>Budget</t>
    </r>
    <r>
      <rPr>
        <b/>
        <vertAlign val="superscript"/>
        <sz val="10"/>
        <color theme="1"/>
        <rFont val="Arial Narrow"/>
        <family val="2"/>
      </rPr>
      <t>3)</t>
    </r>
  </si>
  <si>
    <r>
      <t>3 + 5
 Gesamt-ausgaben</t>
    </r>
    <r>
      <rPr>
        <b/>
        <vertAlign val="superscript"/>
        <sz val="10"/>
        <color theme="1"/>
        <rFont val="Arial Narrow"/>
        <family val="2"/>
      </rPr>
      <t>1)</t>
    </r>
  </si>
  <si>
    <r>
      <t>4 + 6
 Gesamt-einnahmen</t>
    </r>
    <r>
      <rPr>
        <b/>
        <vertAlign val="superscript"/>
        <sz val="10"/>
        <color theme="1"/>
        <rFont val="Arial Narrow"/>
        <family val="2"/>
      </rPr>
      <t>2)</t>
    </r>
  </si>
  <si>
    <r>
      <t>2005</t>
    </r>
    <r>
      <rPr>
        <b/>
        <vertAlign val="superscript"/>
        <sz val="10"/>
        <color theme="1"/>
        <rFont val="Arial Narrow"/>
        <family val="2"/>
      </rPr>
      <t xml:space="preserve"> 5)</t>
    </r>
  </si>
  <si>
    <r>
      <t>2012</t>
    </r>
    <r>
      <rPr>
        <b/>
        <vertAlign val="superscript"/>
        <sz val="10"/>
        <color theme="1"/>
        <rFont val="Arial Narrow"/>
        <family val="2"/>
      </rPr>
      <t>6)</t>
    </r>
  </si>
  <si>
    <r>
      <t>2016</t>
    </r>
    <r>
      <rPr>
        <b/>
        <vertAlign val="superscript"/>
        <sz val="10"/>
        <color theme="1"/>
        <rFont val="Arial Narrow"/>
        <family val="2"/>
      </rPr>
      <t>7)</t>
    </r>
  </si>
  <si>
    <r>
      <rPr>
        <vertAlign val="superscript"/>
        <sz val="10"/>
        <color theme="1"/>
        <rFont val="Arial Narrow"/>
        <family val="2"/>
      </rPr>
      <t>5)</t>
    </r>
    <r>
      <rPr>
        <sz val="10"/>
        <color theme="1"/>
        <rFont val="Arial Narrow"/>
        <family val="2"/>
      </rPr>
      <t xml:space="preserve"> Gesamteinnahmen exkl. a.o.Einlage von 85 Mio. Franken im Zusammenhang mit Erlösanteil aus Verkauf Goldreserve der SNB</t>
    </r>
  </si>
  <si>
    <r>
      <rPr>
        <vertAlign val="superscript"/>
        <sz val="10"/>
        <color theme="1"/>
        <rFont val="Arial Narrow"/>
        <family val="2"/>
      </rPr>
      <t>6)</t>
    </r>
    <r>
      <rPr>
        <sz val="10"/>
        <color theme="1"/>
        <rFont val="Arial Narrow"/>
        <family val="2"/>
      </rPr>
      <t xml:space="preserve"> Vermögensstand gemäss HRM2-Eröffnungsbilanz per 1. Januar 2013 (siehe Budgetbotschaft 2014, Seite 256)</t>
    </r>
  </si>
  <si>
    <r>
      <rPr>
        <vertAlign val="superscript"/>
        <sz val="10"/>
        <color theme="1"/>
        <rFont val="Arial Narrow"/>
        <family val="2"/>
      </rPr>
      <t>7)</t>
    </r>
    <r>
      <rPr>
        <sz val="10"/>
        <color theme="1"/>
        <rFont val="Arial Narrow"/>
        <family val="2"/>
      </rPr>
      <t xml:space="preserve"> Seit 2016 gesetzliche Begrenzung Guthaben Spezialfinanzierung Strassen auf max. 100 Mio. Franken. Per 1. Januar 2016 wurden Beitragsrückstellungen von 4,1 Millionen aufgelöst und dem Vermögen zugeschlagen. </t>
    </r>
  </si>
  <si>
    <t>* Die Selbstfinanzierung berechnet sie wie folgt:</t>
  </si>
  <si>
    <t xml:space="preserve">=
Selbst-finanzierung
</t>
  </si>
  <si>
    <t>Staatsquote</t>
  </si>
  <si>
    <t>(in Mio. Franken. Mit Blick auf den finanzpolitischen Richtwert Nr. 1 betreffend budgetiertem Aufwandüberschuss)</t>
  </si>
  <si>
    <t>a.o. Ergebnis
(2. Stufe)</t>
  </si>
  <si>
    <r>
      <t>Gesamt-ergebnis</t>
    </r>
    <r>
      <rPr>
        <b/>
        <vertAlign val="superscript"/>
        <sz val="10"/>
        <color theme="1"/>
        <rFont val="Arial Narrow"/>
        <family val="2"/>
      </rPr>
      <t xml:space="preserve">5) </t>
    </r>
    <r>
      <rPr>
        <b/>
        <sz val="10"/>
        <color theme="1"/>
        <rFont val="Arial Narrow"/>
        <family val="2"/>
      </rPr>
      <t>(3. Stufe)</t>
    </r>
  </si>
  <si>
    <r>
      <t>operatives Ergebnis</t>
    </r>
    <r>
      <rPr>
        <b/>
        <vertAlign val="superscript"/>
        <sz val="10"/>
        <color theme="1"/>
        <rFont val="Arial Narrow"/>
        <family val="2"/>
      </rPr>
      <t xml:space="preserve">1) </t>
    </r>
    <r>
      <rPr>
        <b/>
        <sz val="10"/>
        <color theme="1"/>
        <rFont val="Arial Narrow"/>
        <family val="2"/>
      </rPr>
      <t xml:space="preserve">
(1. Stufe)</t>
    </r>
  </si>
  <si>
    <r>
      <t>RE - BU operatives Ergebnis</t>
    </r>
    <r>
      <rPr>
        <b/>
        <vertAlign val="superscript"/>
        <sz val="10"/>
        <color theme="1"/>
        <rFont val="Arial Narrow"/>
        <family val="2"/>
      </rPr>
      <t>1)</t>
    </r>
  </si>
  <si>
    <t>nicht budget. Reduktion Zuweisung allgem. Staatsmittel an SF Strassen (8,0 Mio.) und Entnahme Reserve Vereina-Bahntunnel (8,8 Mio., BU 8,4 Mio.)</t>
  </si>
  <si>
    <t>Enthält 3,9 Mio. nicht budget. Erlös aus Verkauf Beteiligungen und 4,9 Mio. budget. Erlös aus Verkauf von Liegenschaften FV.</t>
  </si>
  <si>
    <t>nicht budget. zusätzliche Abschreibungen Verwaltungsvermögen (-1,1 Mio.) und Entnahme aus Reserve Vereina-Bahntunnel (8,9 Mio., BU 9,36 Mio.)</t>
  </si>
  <si>
    <t>Enthält 3,6 Mio. nicht budget. Erlös aus Verkauf von Beteiligungen</t>
  </si>
  <si>
    <t>Enthält 10,2 Mio. Erlös aus Verkauf von Beteiligungen und Aufwertungsgewinn auf Wertschriften FV (BU: 11,3 Mio.)</t>
  </si>
  <si>
    <t>Enthält 10,5 Mio. Erlös aus Verkauf von Beteiligungen und Aufwertungsgewinn auf Wertschriften FV (BU: 10,0 Mio.)</t>
  </si>
  <si>
    <t>Enthält 17,1 Mio. Erlös Verkauf Beteiligungen, Aufwertungsgewinn Wertschriften FV und Höherbewertung Liegenschaften FV (BU: 15 Mio.)</t>
  </si>
  <si>
    <t>Enthält 13,2 Mio. nicht budget. Buchgewinne Übertrag Liegenschaften VV auf FV und Bewertungskorrekturen (davon SF Strassen 3,7 Mio.)</t>
  </si>
  <si>
    <t>Enthält 1,1 Mio. nicht budget. Aufwertung von Liegenschaften FV und VV.</t>
  </si>
  <si>
    <t>nicht budget. zus. Abschreibungen Liegensch. und Investitionsbeiträge (-17,1 Mio.) und a.o. Zuweisung allgem. Staatsmitteln an SF Strassen (-12,7 Mio.)</t>
  </si>
  <si>
    <t>Enthält 6,1 Mio. nicht budget. Gewinn aus Verkauf und Aufwertung von Wertschriften und Liegenschaften FV und VV.</t>
  </si>
  <si>
    <t>Enthält 5,3 Mio. nicht budget. Gewinn Verkauf und Aufwertung Wertschriften und Liegenschaften FV. Ausweis gem. Jahresrechnung 2006.</t>
  </si>
  <si>
    <t>nicht budget. Aufwertungsgewinn PS GKB (136 Mio.) und Agio auf Rückzahlung Dotationskapital GKB (99,8 Mio.)</t>
  </si>
  <si>
    <t>Enthält 7,3 Mio. nicht budget. Gewinn Verkauf und Bewertung Wertschriften und Liegenschaften FV sowie 5,2 Mio. nicht budget. Dividenden PS GKB.</t>
  </si>
  <si>
    <t>nicht budget. zusätzliche Abschreibungen Hochbauten und Mobiliar (-53,8 Mio.) und Mittelverwendung für innovative Projekte (-56,1 Mio., BU -27,5 Mio.). In Jahresrechnung 2006 nur auf Seite A 12 im Abschnitt 1.1 so ausgewiesen.</t>
  </si>
  <si>
    <t xml:space="preserve">Enthält 0,2 Mio. nicht budget. Gewinn aus Verkauf und Bewertung von Wertschriften und Liegenschaften des Finanzvermögens </t>
  </si>
  <si>
    <t xml:space="preserve">Mittelverwendung für innovative Projekte (-14,4 Mio., BU -9,9 Mio.), Verzicht auf pauschale Korrektur Personalkredite (BU -5,7 Mio.),  Periodengerechte Abgrenzung GKB (BU -57,2 Mio.). </t>
  </si>
  <si>
    <t>Enthält 7,4 Mio. nicht budget. Gewinn aus Verkauf/Übertrag  und Aufwertung von Anlagen und Wertschriften</t>
  </si>
  <si>
    <t xml:space="preserve">nicht budget. Aufwertungsgewinn PS GKB (195 Mio.) und Mittelverwendung für innovative Projekte (-9,1 Mio., BU -13,5 Mio.) </t>
  </si>
  <si>
    <t>Enthält 1,4 Mio. nicht budget. Gewinn aus Verkauf/Übertrag  und Aufwertung von Anlagen und Wertschriften</t>
  </si>
  <si>
    <t>nicht budget. Bewertungskorrekturen Wertschriften FV (14,3 Mio.) und Mittelverwendung für innovative Projekte (-3,4 Mio., BU -5,8 Mio.)</t>
  </si>
  <si>
    <t>Enthält 3,9 Mio. nicht budget. Gewinn aus Verkauf/Übertrag  und Aufwertung von Anlagen und Wertschriften</t>
  </si>
  <si>
    <t>nicht budget. Bewertungskorrekturen Wertschriften FV (5,8 Mio.), Einlage in SF Finanzausgleich (-220 Mio.), Reservenbildung Erneuerung Albulatunnel (-40 Mio.), Mittelverwendung für innovative Projekte (-3,7 Mio., BU -5,0 Mio.)</t>
  </si>
  <si>
    <t>Enthält 5,2 Mio. nicht budget. Gewinn aus Verkauf/Übertrag  und Aufwertung von Anlagen und Wertschriften</t>
  </si>
  <si>
    <t xml:space="preserve"> nicht budget. Bewertungskorrekturen Wertschriften FV (7,3 Mio.), Mittelverwendung für innovative Projekte (-2,2 Mio., BU -3,2 Mio.)</t>
  </si>
  <si>
    <t>nicht budget. a.o. Finanzaufwand (-102,8 Mio.) und a.o. Finanzertrag (29,7 Mio.)</t>
  </si>
  <si>
    <t>Enthält Mittelverwendung für innovative Projekte (Kto. 2250.3635901/4636901, 6000.3130903, total -3 Mio., BU -3,9 Mio.) und nicht budget. Gewinnausschüttung SNB (16,3 Mio.)</t>
  </si>
  <si>
    <t>nicht budget. a.o. Finanzaufwand (-64,4 Mio.) und a.o. Finanzertrag (69,5 Mio.) sowie Entnahme aus Reserve Albulatunnel RhB (6,4 Mio.)</t>
  </si>
  <si>
    <t>Enthält Mittelverwendung für innovative Projekte (Kto. 6000.3130903, -0,1 Mio., BU -0,2 Mio.) und Umstellungseffekte HRM2 / Steuerabgrenzungsprinzip (45,2 Mio.), Gewinnausschüttung SNB 0 (BU 16,3 Mio.)</t>
  </si>
  <si>
    <t>nicht budget. a.o. Finanzaufwand (-92,3 Mio.),  Einlage in Reserve systemrelevante Infrastrukturen (-80 Mio.) und a.o. Finanzertrag (120,8 Mio.) sowie Entnahme aus Reserve Albulatunnel RhB (8,4 Mio., BU 8 Mio.)</t>
  </si>
  <si>
    <t>Enthält nicht budget. doppelte Gewinnausschüttung SNB (32,0 Mio.) und Mittelverwendung innovative Projekte (Kto. 6000.3130903, -0,2 Mio., BU -0,2 Mio.)</t>
  </si>
  <si>
    <t>nicht budget. a.o. Finanzaufwand (-91,5 Mio.) und a.o. Finanzertrag (19,6 Mio.) sowie Entnahmen aus Reserve Albulatunnel RhB (4 Mio., BU 4 Mio.) und aus Reserve systemrelevante Infrastrukturen (BU 1 Mio.)</t>
  </si>
  <si>
    <t>Enthält nicht budget. Gewinnausschüttung SNB (15,9 Mio.)</t>
  </si>
  <si>
    <t>nicht budget. a.o. Finanzaufwand (-0,3 Mio.) und a.o. Finanzertrag (44,5 Mio.) sowie Entnahmen aus Reserve Albulatunnel RhB (4 Mio., BU 4,1 Mio.) und aus Reserve systemrelevante Infrastrukturen (2,6 Mio., BU 3,3 Mio.)</t>
  </si>
  <si>
    <t>Enthält Zusatzausschüttung SNB (27,3 Mio., BU 15,9 Mio.) und nicht budget. Gewinn Teilverkauf Aktien Ems-Chemie Holding AG (16,4 Mio.)</t>
  </si>
  <si>
    <t>nicht budget. a.o. Finanzaufwand (-44,6 Mio.), Einlage in Reserve Hochschulzentrum Chur (-90 Mio.), a.o. Finanzertrag (22,5 Mio.), Entnahmen Reserve Albulatunnel RhB (3,2 Mio., BU 4,1 Mio.) und systemrelevante Infrastrukturen (6,4 Mio., BU 6 Mio.)</t>
  </si>
  <si>
    <t>Enthält doppelte Gewinnausschüttung SNB (31,4 Mio., BU 15,9 Mio.) und nicht budget. Rückerstattungen von Subventionen durch PostAuto AG (14,6 Mio.)</t>
  </si>
  <si>
    <t>nicht budget. a.o. Finanzaufwand (-80,4 Mio.), nicht budget. a.o. Finanzertrag (11,5 Mio.), Entnahmen Reserve Albulatunnel RhB (2,2 Mio., BU 3,9 Mio.) und systemrelevante Infrastrukturen (4,8 Mio., BU 10 Mio.)</t>
  </si>
  <si>
    <t>Enthält Zusatzausschüttung SNB (31,2 Mio., BU 15,9 Mio.)</t>
  </si>
  <si>
    <t xml:space="preserve">nicht budget. a.o. Finanzaufwand (-0,1 Mio.) und a.o. Finanzertrag (38,2 Mio.), Entnahmen Reserven Albulatunnel RhB (0,6 Mio., BU 2,6 Mio.) und systemrelevante Infrastrukturen (4,5 Mio., BU 11 Mio.), nicht budget. Einlage Reserve digitale Transform. (-40 Mio.) </t>
  </si>
  <si>
    <t xml:space="preserve">Enthält vierfache Gewinnausschüttung SNB (62,1 Mio., BU 15,5 Mio.), nicht budget. Jubiläumsdividende GKB (12,6 Mio.) und nicht budget. Nettobelastung durch Covid-19-Pandemie (-60,3 Mio.) </t>
  </si>
  <si>
    <t>ohne Vorzeichen: Ertragsüberschuss / Negatives Vorzeichen: Aufwandüberschuss, FV: Finanzvermögen, VV: Verwaltungsvermögen</t>
  </si>
  <si>
    <t>Ø  RP 21-24</t>
  </si>
  <si>
    <r>
      <t>operatives Ergebnis</t>
    </r>
    <r>
      <rPr>
        <b/>
        <vertAlign val="superscript"/>
        <sz val="10"/>
        <color theme="1"/>
        <rFont val="Arial Narrow"/>
        <family val="2"/>
      </rPr>
      <t xml:space="preserve">1)
</t>
    </r>
    <r>
      <rPr>
        <b/>
        <sz val="10"/>
        <color theme="1"/>
        <rFont val="Arial Narrow"/>
        <family val="2"/>
      </rPr>
      <t>(1. Stufe)</t>
    </r>
  </si>
  <si>
    <t>Ø 97
-03</t>
  </si>
  <si>
    <t>Ø RP
 05-08</t>
  </si>
  <si>
    <t>(in Mio. Franken, Mit Blick auf den finanzpolitischen Richtwert Nr. 2 betreffend budgetierte Nettoinvestitionen)</t>
  </si>
  <si>
    <r>
      <t>Netto-
Invest. I</t>
    </r>
    <r>
      <rPr>
        <b/>
        <vertAlign val="superscript"/>
        <sz val="10"/>
        <color theme="1"/>
        <rFont val="Arial Narrow"/>
        <family val="2"/>
      </rPr>
      <t>1)</t>
    </r>
  </si>
  <si>
    <t>nicht richtwert-relevant</t>
  </si>
  <si>
    <r>
      <t>Netto-
Invest. II</t>
    </r>
    <r>
      <rPr>
        <b/>
        <vertAlign val="superscript"/>
        <sz val="10"/>
        <color theme="1"/>
        <rFont val="Arial Narrow"/>
        <family val="2"/>
      </rPr>
      <t>2)</t>
    </r>
  </si>
  <si>
    <t>Netto-
Invest. I</t>
  </si>
  <si>
    <r>
      <t xml:space="preserve">
Netto-
Invest. II</t>
    </r>
    <r>
      <rPr>
        <b/>
        <vertAlign val="superscript"/>
        <sz val="10"/>
        <color theme="1"/>
        <rFont val="Arial Narrow"/>
        <family val="2"/>
      </rPr>
      <t xml:space="preserve">4) </t>
    </r>
  </si>
  <si>
    <t xml:space="preserve">
RE-BU
Netto-Invest. II</t>
  </si>
  <si>
    <t xml:space="preserve">
in % der Netto-Invest. II</t>
  </si>
  <si>
    <t>Transferaufwand (36)</t>
  </si>
  <si>
    <t>a.o. Aufwand (38)</t>
  </si>
  <si>
    <t xml:space="preserve">Gesamt-
aufwand
</t>
  </si>
  <si>
    <t xml:space="preserve">Personal-aufwand
</t>
  </si>
  <si>
    <t>Sach- u. übr. Betr. Aufwand</t>
  </si>
  <si>
    <r>
      <t>Transfer-aufwand</t>
    </r>
    <r>
      <rPr>
        <b/>
        <vertAlign val="superscript"/>
        <sz val="10"/>
        <color theme="1"/>
        <rFont val="Arial Narrow"/>
        <family val="2"/>
      </rPr>
      <t>2)</t>
    </r>
    <r>
      <rPr>
        <b/>
        <sz val="10"/>
        <color theme="1"/>
        <rFont val="Arial Narrow"/>
        <family val="2"/>
      </rPr>
      <t xml:space="preserve">
</t>
    </r>
  </si>
  <si>
    <r>
      <t>davon
360, 361, 369</t>
    </r>
    <r>
      <rPr>
        <b/>
        <vertAlign val="superscript"/>
        <sz val="10"/>
        <color theme="1"/>
        <rFont val="Arial Narrow"/>
        <family val="2"/>
      </rPr>
      <t>3)</t>
    </r>
  </si>
  <si>
    <r>
      <t>davon
362</t>
    </r>
    <r>
      <rPr>
        <b/>
        <vertAlign val="superscript"/>
        <sz val="10"/>
        <color theme="1"/>
        <rFont val="Arial Narrow"/>
        <family val="2"/>
      </rPr>
      <t>4)</t>
    </r>
  </si>
  <si>
    <r>
      <t>davon
363</t>
    </r>
    <r>
      <rPr>
        <b/>
        <vertAlign val="superscript"/>
        <sz val="10"/>
        <color theme="1"/>
        <rFont val="Arial Narrow"/>
        <family val="2"/>
      </rPr>
      <t>5)</t>
    </r>
    <r>
      <rPr>
        <b/>
        <sz val="10"/>
        <color theme="1"/>
        <rFont val="Arial Narrow"/>
        <family val="2"/>
      </rPr>
      <t xml:space="preserve">
</t>
    </r>
  </si>
  <si>
    <r>
      <t>davon
364, 366</t>
    </r>
    <r>
      <rPr>
        <b/>
        <vertAlign val="superscript"/>
        <sz val="10"/>
        <color theme="1"/>
        <rFont val="Arial Narrow"/>
        <family val="2"/>
      </rPr>
      <t xml:space="preserve">6)
</t>
    </r>
  </si>
  <si>
    <t>Durchl. Beiträge</t>
  </si>
  <si>
    <r>
      <t>Ausser-ordentl. Aufwand</t>
    </r>
    <r>
      <rPr>
        <b/>
        <vertAlign val="superscript"/>
        <sz val="10"/>
        <color theme="1"/>
        <rFont val="Arial Narrow"/>
        <family val="2"/>
      </rPr>
      <t>7)</t>
    </r>
  </si>
  <si>
    <r>
      <t>davon
384</t>
    </r>
    <r>
      <rPr>
        <b/>
        <vertAlign val="superscript"/>
        <sz val="10"/>
        <color theme="1"/>
        <rFont val="Arial Narrow"/>
        <family val="2"/>
      </rPr>
      <t>8)</t>
    </r>
  </si>
  <si>
    <r>
      <t>davon
389</t>
    </r>
    <r>
      <rPr>
        <b/>
        <vertAlign val="superscript"/>
        <sz val="10"/>
        <color theme="1"/>
        <rFont val="Arial Narrow"/>
        <family val="2"/>
      </rPr>
      <t>9)</t>
    </r>
    <r>
      <rPr>
        <b/>
        <sz val="10"/>
        <color theme="1"/>
        <rFont val="Arial Narrow"/>
        <family val="2"/>
      </rPr>
      <t xml:space="preserve">
</t>
    </r>
  </si>
  <si>
    <t>a.o. Ertrag (48)</t>
  </si>
  <si>
    <t>Gesamt-
ertrag</t>
  </si>
  <si>
    <t>Fiskal-
ertrag</t>
  </si>
  <si>
    <t>Regalien und Konz-essionen</t>
  </si>
  <si>
    <t>Entgelte</t>
  </si>
  <si>
    <t>Finanz-
ertrag</t>
  </si>
  <si>
    <r>
      <t>Richtwert
Netto-
Invest. II</t>
    </r>
    <r>
      <rPr>
        <b/>
        <i/>
        <vertAlign val="superscript"/>
        <sz val="10"/>
        <color theme="1"/>
        <rFont val="Arial Narrow"/>
        <family val="2"/>
      </rPr>
      <t>4)</t>
    </r>
  </si>
  <si>
    <t>Rückzahlung Dotationskapital GKB (RE -20 Mio) und Umwandlung Dotationskapital in PS GKB (RE -20 Mio.),  bereinigt: Darlehen an LKG (RE 0,2 Mio. BU 0,5 Mio.). RW von 170 Mio. bei Ausklammerung eines zinsvergünstigten Darlehens von 10 Mio. und von nicht im FP enthaltenen Investitionsbeiträgen von 4 Mio. an Grosssägerei eingehalten.</t>
  </si>
  <si>
    <t>bereinigt: innovatives Projekt "Erneuerung des Rollmaterials der RhB" (RE 22 Mio. BU 22 Mio.) und Darlehen an LKG (RE 0,7 Mio. BU 3 Mio.). RW von 170 Mio. bei Ausklammerung von nicht im FP enthaltenen Investitionsbeiträgen von 3,5 Mio. an die geplante Grosssägerei und von 4,1 Mio. an den Bau der Porta Alpina eingehalten.</t>
  </si>
  <si>
    <t>vom Bund finanzierte Darlehen (LKG RE 4,3 Mio. BU 0, bereinigt: NRP netto  RE 1,5 Mio. BU 9,2 Mio.),  a.o. Einnahmen aus Umwandlung Dotationskapital GKB (RE 25 Mio. BU 0 ), bereinigt: vom RW ausgenommene Vorhaben (Kauf Grossratsgebäude RE 8,3 Mio. BU 8,8 Mio.). Darlehen gem. Wirtschaftsentwicklungsgesetz (BU netto 1,3 Mio.) entgegen Budgetbotschaft 2016, Seite A39, richtwertrelevant (dort brutto).</t>
  </si>
  <si>
    <r>
      <rPr>
        <i/>
        <sz val="10"/>
        <rFont val="Symbol"/>
        <family val="1"/>
        <charset val="2"/>
      </rPr>
      <t xml:space="preserve">Æ </t>
    </r>
    <r>
      <rPr>
        <i/>
        <sz val="10"/>
        <rFont val="Arial Narrow"/>
        <family val="2"/>
      </rPr>
      <t>230</t>
    </r>
  </si>
  <si>
    <t>Anteil des laufenden Ertrages, den die öffentliche Körperschaft zur Finanzierung ihrer Investitionen aufwenden kann.</t>
  </si>
  <si>
    <t>nicht budget. a.o. Zuweisung allgem. Staatsmittel an SF Strassen (-10,0 Mio.). Ausweis gem. Jahresrechnung 2006. Enthält 511,2 Mio. SNB-Golderlös sowie  511,2 Mio. Verwendung des SNB-Golderlöses (ergebnisneutral).</t>
  </si>
  <si>
    <t>RE 2021</t>
  </si>
  <si>
    <t xml:space="preserve">nicht budget. a.o. Finanzertrag (56,4 Mio.), Entnahmen Reserven Förderung digitale Transformation (1,0 Mio., BU 6,8 Mio.), systemrelevante Infrastrukturen (2,4 Mio., BU 12 Mio.) und Albulatunnel RhB (2,0 Mio., BU 2,6 Mio.), nicht budget. Einlage Reserve Green Deal GR (-67 Mio.) </t>
  </si>
  <si>
    <t xml:space="preserve">Enthält sechsfache Gewinnausschüttung SNB (92,7 Mio., BU 62,0 Mio.) und nicht budget. Nettobelastung durch Covid-19-Pandemie (-87,6 Mio.) </t>
  </si>
  <si>
    <t>Ausweis / Herleitung siehe Rechnungsbotschaft 2021, Seite 87</t>
  </si>
  <si>
    <t>29       Eigenkapital gemäss Bilanz</t>
  </si>
  <si>
    <t>- 290    Spezialfinanzierungen im Eigenkapital</t>
  </si>
  <si>
    <t>SF Tierseuchenbekämpfung</t>
  </si>
  <si>
    <t>SF Finanzausgleich für Gemeinden</t>
  </si>
  <si>
    <t>SF Strassen</t>
  </si>
  <si>
    <t>- 293    Vorfinanzierungen</t>
  </si>
  <si>
    <t>= 299  Bilanzüberschuss</t>
  </si>
  <si>
    <t>- 14      Verwaltungsvermögen (exkl. bundesfinanzierte Darlehen NRP und LKG 
            sowie aus forstlichen Investitionskrediten)</t>
  </si>
  <si>
    <t>Total Verwaltungsvermögen</t>
  </si>
  <si>
    <t>- bundesfinanzierte Darlehen Landwirtschaftliche Kreditgenossenschaft (LKG)</t>
  </si>
  <si>
    <t>- bundesfinanzierte Darlehen aus forstlichen Investitionskrediten gemäss eidg. Waldgesetz</t>
  </si>
  <si>
    <t>- 1070 Anteil Aktien und Anteilscheine
(Anteil aus politischem Interesse gehalten)</t>
  </si>
  <si>
    <t>Total Aktien und Anteilscheine</t>
  </si>
  <si>
    <t>- Anteil Aktien und Anteilscheine für Anlagezwecke gehalten</t>
  </si>
  <si>
    <t>=        Frei verfügbares Eigenkapital</t>
  </si>
  <si>
    <t>Frei verfügbares Eigenkapital</t>
  </si>
  <si>
    <t>Verfügbares Eigenkapital</t>
  </si>
  <si>
    <t>Bestand
31.12.2021</t>
  </si>
  <si>
    <t>Bestand
31.12.2020</t>
  </si>
  <si>
    <t>Bestand
31.12.2019</t>
  </si>
  <si>
    <t>Bestand
31.12.2018</t>
  </si>
  <si>
    <t>Bestand
31.12.2017</t>
  </si>
  <si>
    <t>Bestand
31.12.2016</t>
  </si>
  <si>
    <t>Zweckgebundenes Eigenkapital</t>
  </si>
  <si>
    <t>290    Spezialfinanzierungen im Eigenkapital</t>
  </si>
  <si>
    <t>293    Vorfinanzierungen</t>
  </si>
  <si>
    <t>+ frei verfügbares Eigenkapital</t>
  </si>
  <si>
    <t/>
  </si>
  <si>
    <t>=        verfügbares Eigenkapital</t>
  </si>
  <si>
    <t>Herleitung des finanzpolitisch relevanten Eigenkapitals</t>
  </si>
  <si>
    <t>(gemäss Jahresrechnung, in Mio. Franken)</t>
  </si>
  <si>
    <t>(gemäss Jahresrechnung, in Mio. Franken, Spaltenbezeichnungen gemäss HRM2-Terminologie)</t>
  </si>
  <si>
    <t>gemäss Jahresrechnung, in Mio. Franken</t>
  </si>
  <si>
    <r>
      <t>Ergebnis</t>
    </r>
    <r>
      <rPr>
        <b/>
        <vertAlign val="superscript"/>
        <sz val="10"/>
        <color theme="1"/>
        <rFont val="Arial Narrow"/>
        <family val="2"/>
      </rPr>
      <t>8)</t>
    </r>
  </si>
  <si>
    <t>RE 2022</t>
  </si>
  <si>
    <t>** Die Gesamtausgaben setzen sich zusammen aus den Laufenden Ausgaben und den Bruttoinvestitionen. Zahlen gemäss Berechnungsart ab 2016 (Systemwechsel Zuschlagsteuer (5315.3602101) ab 2016 über Bilanz, mit Restatement 2013-2015). Berechnungsart gemäss Bericht der Regierung in der Budgetbotschaft 2023 (Seite 91), entspricht inhaltlich der HRM2-Berechnungsart gemäss Kapitel «Kennzahlen» in der Budgetbotschaft 2023 (Seite 383):</t>
  </si>
  <si>
    <t xml:space="preserve">Enthält sechsfache Gewinnausschüttung SNB (92,4 Mio., BU 92,7 Mio.) und Nettobelastung durch Covid-19-Pandemie (-8,9 Mio., BU ohne NK 10,2 Mio.) </t>
  </si>
  <si>
    <t>Bestand
31.12.2022</t>
  </si>
  <si>
    <r>
      <t>- bundesfinanzierte Darlehen Regionalpolitik (NRP)</t>
    </r>
    <r>
      <rPr>
        <vertAlign val="superscript"/>
        <sz val="7.5"/>
        <rFont val="Arial Narrow"/>
        <family val="2"/>
      </rPr>
      <t xml:space="preserve"> 1)</t>
    </r>
  </si>
  <si>
    <t>Ausweis / Herleitung siehe Rechnungsbotschaft 2022, Seite 74</t>
  </si>
  <si>
    <t>Nettovermögen pro EW in Fr.</t>
  </si>
  <si>
    <t>Nettoschuld/ -vermögen</t>
  </si>
  <si>
    <t>Nettoschuld/ -vermögen pro Einwohner</t>
  </si>
  <si>
    <t xml:space="preserve">Der Kanton weist ein Nettovermögen und keine Nettoschuld auf. </t>
  </si>
  <si>
    <t xml:space="preserve">Die Kennzahl «Nettovermögen/ -schuld pro EW» wird als Gradmesser für die Vermögenslage / Verschuldung verwendet. </t>
  </si>
  <si>
    <t>Das Finanzvermögen (FV) übersteigt das Fremdkapital (FK), daher das negative Vorzeichen der Kennzahl. Das FV beinhaltet einen hohen Anteil an Aktien und Anteilscheinen, die aus politischem Interesse gehalten werden.</t>
  </si>
  <si>
    <t>RE 2023</t>
  </si>
  <si>
    <t xml:space="preserve">nicht budget. a.o. Finanzertrag (61,1 Mio.) und -aufwand (-19,7 Mio.), Entn. Res. Förd. digitale Transf. (2,0 Mio., BU 7,4 Mio.), systemrel. Infrastrukturen (0,8 Mio., BU 8 Mio.), Albulatunnel RhB (2,1 Mio., BU 1,9 Mio.) und Green Deal (3,4 Mio., BU 15,5 Mio.), nicht budget. Einlage Res.  FHZGR (-60 Mio.) </t>
  </si>
  <si>
    <t>nicht budget. a.o. Finanzertrag (25,8 Mio.) und -aufwand (-2,4 Mio.), Entn. Res. Förd. digitale Transf. (3,2 Mio., BU 6,6 Mio.), systemrel. Infrastrukturen (2,5 Mio., BU 5 Mio.), Albulatunnel RhB (3,1 Mio., BU 1,9 Mio.) und Green Deal (9,8 Mio., BU 14,4 Mio.)</t>
  </si>
  <si>
    <t>Enthält keine Gewinnausschüttung SNB (BU 61,6 Mio.)</t>
  </si>
  <si>
    <t>Ausweis / Herleitung siehe Rechnungsbotschaft 2023, Seite 77</t>
  </si>
  <si>
    <t>Bestand
31.12.2023</t>
  </si>
  <si>
    <t>RE 2024</t>
  </si>
  <si>
    <t>Bestand
31.12.2024</t>
  </si>
  <si>
    <t>Für die finanzpolitische Steuerung ist das ausgewiesene Gesamteigenkapital von 3,3 Milliarden keine geeignete Grösse. Es ist zum grössten Teil zur öffentlichen Aufgabenerfüllung gebunden und daher nicht frei verfügbar. Zur Deckung von Aufwandüberschüssen in der Erfolgsrechnung sowie für die Bildung von Vorfinanzierungen von Grossprojekten steht das «frei verfügbare Eigenkapital» zur Verfügung. Dieses wird ergänzt durch das «zweckgebundene Eigenkapital». Zusammen bilden sie das «verfügbare Eigenkapital».
Das «zweckgebundene Eigenkapital» umfasst einerseits die Vermögen von Spezialfinanzierungen (SF) im Eigenkapital sowie die gebildeten Reserven bzw. Vorfinanzierungen. Das «frei verfügbare Eigenkapital» entspricht dem Bilanzüberschuss abzüglich des Verwaltungsvermögens (ohne bundesfinanzierte Darlehen) sowie der aus politischem Interesse gehaltenen Aktien und Anteilscheine im Finanzvermögen. Beide Grössen sind in Art. 2b der Finanzhaushaltsverordnung (FHV; BR 710.110) klar definiert und ausführlich erläutert.</t>
  </si>
  <si>
    <r>
      <t>Bruttoinland-produkt</t>
    </r>
    <r>
      <rPr>
        <b/>
        <vertAlign val="superscript"/>
        <sz val="10"/>
        <color theme="1"/>
        <rFont val="Arial Narrow"/>
        <family val="2"/>
      </rPr>
      <t xml:space="preserve"> 2)</t>
    </r>
  </si>
  <si>
    <t>Ausweis / Herleitung siehe Budgetbotschaft 2024, Seite 108</t>
  </si>
  <si>
    <t>Enthält keine Gewinnausschüttung SNB (BU 0,0 Mio.)</t>
  </si>
  <si>
    <t>Vorfinanzierung für systemrelevante Infrastrukturen</t>
  </si>
  <si>
    <t>Vorfinanzierung für Albulatunnel RhB</t>
  </si>
  <si>
    <t>Vorfinanzierung für Fachhochschulzentrum Graubünden (FHZGR), Chur</t>
  </si>
  <si>
    <t>Vorfinanzierung VK Förderung digitale Transformation</t>
  </si>
  <si>
    <t>Vorfinanzierung VK Green Deal</t>
  </si>
  <si>
    <t>Entnahmen Vorfinanzierungen Förderung digitale Transformation (3,5 Mio., BU 4,2 Mio.), systemrelevante Infrastrukturen (3,7 Mio., BU 4,0 Mio.), Green Deal GR (14,5 Mio., BU 14,7 Mio.) und Albulatunnel RhB (1,7 Mio., BU 1,9 Mio.)</t>
  </si>
  <si>
    <r>
      <rPr>
        <vertAlign val="superscript"/>
        <sz val="10"/>
        <rFont val="Arial Narrow"/>
        <family val="2"/>
      </rPr>
      <t xml:space="preserve">4) </t>
    </r>
    <r>
      <rPr>
        <sz val="10"/>
        <rFont val="Arial Narrow"/>
        <family val="2"/>
      </rPr>
      <t>bis 2012: Aufwand Laufende Rechnung brutto + Ausgaben Investitionsrechnung brutto - Abschreibungen Verwaltungsvermögen - interne Verrechnungen - Einlagen in Fonds und Reserven - durchlaufende Beiträge. Ab 2013: Siehe Tabellenblatt "HRM2-Kennzahlen ab 2013"</t>
    </r>
  </si>
  <si>
    <r>
      <t xml:space="preserve">1) </t>
    </r>
    <r>
      <rPr>
        <sz val="10"/>
        <rFont val="Arial Narrow"/>
        <family val="2"/>
      </rPr>
      <t>Gesamtertrag (4) - Gesamtaufwand (3); Gesamtergebnis Erfolgsrechnung; ab 2013 Ergebnis 3. Stufe; bis 2012 Gesamtergebnis inklusive ausserordentlichem Aufwand und Ertrag</t>
    </r>
  </si>
  <si>
    <r>
      <rPr>
        <vertAlign val="superscript"/>
        <sz val="10"/>
        <rFont val="Arial Narrow"/>
        <family val="2"/>
      </rPr>
      <t xml:space="preserve">2) </t>
    </r>
    <r>
      <rPr>
        <sz val="10"/>
        <rFont val="Arial Narrow"/>
        <family val="2"/>
      </rPr>
      <t>Investitionsausgaben (5) - Investitionseinnahmen (6)</t>
    </r>
  </si>
  <si>
    <r>
      <rPr>
        <vertAlign val="superscript"/>
        <sz val="10"/>
        <rFont val="Arial Narrow"/>
        <family val="2"/>
      </rPr>
      <t>4)</t>
    </r>
    <r>
      <rPr>
        <sz val="10"/>
        <rFont val="Arial Narrow"/>
        <family val="2"/>
      </rPr>
      <t xml:space="preserve"> bis 2012 Selbstfinanzierung - Nettoinvestitionen II, ab 2013 Selbstfinanzierung - Nettoinvestitionen I</t>
    </r>
  </si>
  <si>
    <r>
      <rPr>
        <vertAlign val="superscript"/>
        <sz val="10"/>
        <rFont val="Arial Narrow"/>
        <family val="2"/>
      </rPr>
      <t>5)</t>
    </r>
    <r>
      <rPr>
        <sz val="10"/>
        <rFont val="Arial Narrow"/>
        <family val="2"/>
      </rPr>
      <t xml:space="preserve"> bis 2008: Ausgewiesenes Ergebnis Laufende Rechnung + Abschreibungen +/- Veränderung Delkredere-Rückstellungen +/- Zuweisungen/Entnahmen aus SF, Fonds und Reserven, 2005 - Anteil Erlös SNB-Gold - Ertrag Systemwechsel Finanzausgleich. 
Ab 2009 ordentliches Ergebnis Laufende Rechnung + Abschreibungen +/- Zuweisungen/Entnahmen aus SF, Fonds und Reserven, Ab 2013 siehe Tabellenblatt "HRM-Kennzahlen ab 2013"</t>
    </r>
  </si>
  <si>
    <r>
      <rPr>
        <vertAlign val="superscript"/>
        <sz val="10"/>
        <rFont val="Arial Narrow"/>
        <family val="2"/>
      </rPr>
      <t>6)</t>
    </r>
    <r>
      <rPr>
        <sz val="10"/>
        <rFont val="Arial Narrow"/>
        <family val="2"/>
      </rPr>
      <t xml:space="preserve">  bis 2012 Selbstfinanzierung in Prozent der Nettoinvestitionen II, ab 2013 Selbstfinanzierung in Prozent der Nettoinvestitionen I</t>
    </r>
  </si>
  <si>
    <r>
      <rPr>
        <vertAlign val="superscript"/>
        <sz val="10"/>
        <rFont val="Arial Narrow"/>
        <family val="2"/>
      </rPr>
      <t>7)</t>
    </r>
    <r>
      <rPr>
        <sz val="10"/>
        <rFont val="Arial Narrow"/>
        <family val="2"/>
      </rPr>
      <t xml:space="preserve"> 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</si>
  <si>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rFont val="Arial Narrow"/>
        <family val="2"/>
      </rPr>
      <t>8)</t>
    </r>
    <r>
      <rPr>
        <sz val="10"/>
        <rFont val="Arial Narrow"/>
        <family val="2"/>
      </rPr>
      <t xml:space="preserve"> Laufende Verbindlichkeiten (200) + Kurzfristige Finanzverbindlichkeiten (201) - Kurzfristige derivative Finanzinstrumente (2016) + Langfristige Finanzverbindlichkeiten (206) - Langfristige derivative Finanzinstrumente (2066) </t>
    </r>
  </si>
  <si>
    <r>
      <rPr>
        <vertAlign val="superscript"/>
        <sz val="10"/>
        <rFont val="Arial Narrow"/>
        <family val="2"/>
      </rPr>
      <t>9)</t>
    </r>
    <r>
      <rPr>
        <sz val="10"/>
        <rFont val="Arial Narrow"/>
        <family val="2"/>
      </rPr>
      <t xml:space="preserve"> Fremdkapital (20) - Finanzvermögen (10)</t>
    </r>
  </si>
  <si>
    <r>
      <rPr>
        <vertAlign val="superscript"/>
        <sz val="10"/>
        <rFont val="Arial Narrow"/>
        <family val="2"/>
      </rPr>
      <t>10)</t>
    </r>
    <r>
      <rPr>
        <sz val="10"/>
        <rFont val="Arial Narrow"/>
        <family val="2"/>
      </rPr>
      <t xml:space="preserve"> Fremdkapital (20) - Finanzvermögen (10) - Darlehen (144) - Beteiligungen, Grundkapitalien (145); bis 2012: Fremdkapital (20) - Finanzvermögen (10) - Darlehen und Beteiligungen (115)</t>
    </r>
  </si>
  <si>
    <r>
      <rPr>
        <vertAlign val="superscript"/>
        <sz val="10"/>
        <rFont val="Arial Narrow"/>
        <family val="2"/>
      </rPr>
      <t>11)</t>
    </r>
    <r>
      <rPr>
        <sz val="10"/>
        <rFont val="Arial Narrow"/>
        <family val="2"/>
      </rPr>
      <t xml:space="preserve"> Im 2013 erhöhte sich das Gesamteigenkapital im Zuge der HRM2-Einführung um total 1 565 Mio. Franken durch Neubewertungen und Umgliederungen. Ab 2015 werden die Steuerguthaben wieder gemäss dem Sollprinzip ausgewiesen. Die Aufwertungs- und Neubewertungsreserven betragen seither 1000 Mio. Franken. Diese werden ausschliesslich im Anhang der Jahresrechnung (Eigenkapitalnachweis) ausgewiesen (ab 2019 verdichtet in einem Betrag)</t>
    </r>
  </si>
  <si>
    <r>
      <rPr>
        <vertAlign val="superscript"/>
        <sz val="10"/>
        <rFont val="Arial Narrow"/>
        <family val="2"/>
      </rPr>
      <t xml:space="preserve">1) </t>
    </r>
    <r>
      <rPr>
        <sz val="10"/>
        <rFont val="Arial Narrow"/>
        <family val="2"/>
      </rPr>
      <t>ab 2013 HRM2-Berechnung. 1997-2012 ohne HRM2-Restatement (Umgliederungen/Kontoverschiebungen)</t>
    </r>
  </si>
  <si>
    <r>
      <rPr>
        <vertAlign val="superscript"/>
        <sz val="10"/>
        <rFont val="Arial Narrow"/>
        <family val="2"/>
      </rPr>
      <t xml:space="preserve">2) </t>
    </r>
    <r>
      <rPr>
        <sz val="10"/>
        <rFont val="Arial Narrow"/>
        <family val="2"/>
      </rPr>
      <t>Transferaufwand 1997-2012: 34 Anteile und Beiträge ohne Zweckbindung, 35 Enschädigungen an Gemeinwesen für Dienstleistungen, 36 Eigene Beiträge, 5113.3313 Ordentliche Abschreibungen auf Investitionsbeiträgen, 5113.3322 zusätzliche Abschreibungen Investitionsbeiträge, 2250.3319 Abschreibungen Darlehen Wirtschaftsentwicklungsgesetz, 2250.3195 Einlösung Bürgschaftsverpflichtungen, 2250.3196 Anteil Verlust an IHG-Darlehen</t>
    </r>
  </si>
  <si>
    <r>
      <rPr>
        <vertAlign val="superscript"/>
        <sz val="10"/>
        <rFont val="Arial Narrow"/>
        <family val="2"/>
      </rPr>
      <t>3)</t>
    </r>
    <r>
      <rPr>
        <sz val="10"/>
        <rFont val="Arial Narrow"/>
        <family val="2"/>
      </rPr>
      <t xml:space="preserve"> 360: Ertragsanteile an Dritte, 361: Entschädigungen an öffentliche Gemeinwesen, 369: Übriger Transferaufwand</t>
    </r>
  </si>
  <si>
    <r>
      <rPr>
        <vertAlign val="superscript"/>
        <sz val="10"/>
        <rFont val="Arial Narrow"/>
        <family val="2"/>
      </rPr>
      <t>4)</t>
    </r>
    <r>
      <rPr>
        <sz val="10"/>
        <rFont val="Arial Narrow"/>
        <family val="2"/>
      </rPr>
      <t xml:space="preserve"> 362: Finanz- und Lastenausgleich</t>
    </r>
  </si>
  <si>
    <r>
      <rPr>
        <vertAlign val="superscript"/>
        <sz val="10"/>
        <rFont val="Arial Narrow"/>
        <family val="2"/>
      </rPr>
      <t>5)</t>
    </r>
    <r>
      <rPr>
        <sz val="10"/>
        <rFont val="Arial Narrow"/>
        <family val="2"/>
      </rPr>
      <t xml:space="preserve"> 363: Beiträge an öffentliche Gemeinwesen und Dritte (HRM1: 36: Eigene Beiträge)</t>
    </r>
  </si>
  <si>
    <r>
      <rPr>
        <vertAlign val="superscript"/>
        <sz val="10"/>
        <rFont val="Arial Narrow"/>
        <family val="2"/>
      </rPr>
      <t>6)</t>
    </r>
    <r>
      <rPr>
        <sz val="10"/>
        <rFont val="Arial Narrow"/>
        <family val="2"/>
      </rPr>
      <t xml:space="preserve"> 364: Wertberichtigungen Darlehen VV, 366: Abschreibungen Investitionsbeiträge</t>
    </r>
  </si>
  <si>
    <r>
      <t>7)</t>
    </r>
    <r>
      <rPr>
        <sz val="10"/>
        <rFont val="Arial Narrow"/>
        <family val="2"/>
      </rPr>
      <t xml:space="preserve"> Ausserordentlicher Aufwand 1997-2012:
Bereinigungen 1997-2008 siehe auch Tabellenblatt "Ergebnisse Erfolgsrechnung".   
2005: Verwendung Golderlös SNB 511,2 Mio., a.o. Zuweisung an SF Strassen 10,0 Mio.
2007: zusätzliche Abschreibungen Sachanlagen 53,8 Mio., Mittelverwendung innovative Projekte 56,1 Mio.  
2011: Einlage in SF Finanzausgleich 220 Mio. und Reserve Erneuerung Albulatunnel 40 Mio.</t>
    </r>
  </si>
  <si>
    <r>
      <rPr>
        <vertAlign val="superscript"/>
        <sz val="10"/>
        <rFont val="Arial Narrow"/>
        <family val="2"/>
      </rPr>
      <t>8)</t>
    </r>
    <r>
      <rPr>
        <sz val="10"/>
        <rFont val="Arial Narrow"/>
        <family val="2"/>
      </rPr>
      <t xml:space="preserve"> 384: Ausserordentlicher Finanzaufwand (ab 2020 Verluste Wertschriften aus übergeordnet politischem Interesse gehalten gem. Art. 2b Abs. 3 lit. b FHV)</t>
    </r>
  </si>
  <si>
    <r>
      <t>Transfer-
ertrag</t>
    </r>
    <r>
      <rPr>
        <b/>
        <vertAlign val="superscript"/>
        <sz val="10"/>
        <rFont val="Arial Narrow"/>
        <family val="2"/>
      </rPr>
      <t>2)</t>
    </r>
  </si>
  <si>
    <r>
      <t>Ausser-ordentl. Ertrag</t>
    </r>
    <r>
      <rPr>
        <b/>
        <vertAlign val="superscript"/>
        <sz val="10"/>
        <rFont val="Arial Narrow"/>
        <family val="2"/>
      </rPr>
      <t>3)</t>
    </r>
  </si>
  <si>
    <r>
      <t>davon 
484</t>
    </r>
    <r>
      <rPr>
        <b/>
        <vertAlign val="superscript"/>
        <sz val="10"/>
        <rFont val="Arial Narrow"/>
        <family val="2"/>
      </rPr>
      <t>4)</t>
    </r>
  </si>
  <si>
    <r>
      <t>davon 
489</t>
    </r>
    <r>
      <rPr>
        <b/>
        <vertAlign val="superscript"/>
        <sz val="10"/>
        <rFont val="Arial Narrow"/>
        <family val="2"/>
      </rPr>
      <t>5)</t>
    </r>
    <r>
      <rPr>
        <b/>
        <sz val="10"/>
        <rFont val="Arial Narrow"/>
        <family val="2"/>
      </rPr>
      <t xml:space="preserve">
</t>
    </r>
  </si>
  <si>
    <r>
      <t>2013</t>
    </r>
    <r>
      <rPr>
        <b/>
        <vertAlign val="superscript"/>
        <sz val="10"/>
        <rFont val="Arial Narrow"/>
        <family val="2"/>
      </rPr>
      <t>1)</t>
    </r>
  </si>
  <si>
    <r>
      <rPr>
        <vertAlign val="superscript"/>
        <sz val="10"/>
        <rFont val="Arial Narrow"/>
        <family val="2"/>
      </rPr>
      <t>2)</t>
    </r>
    <r>
      <rPr>
        <sz val="10"/>
        <rFont val="Arial Narrow"/>
        <family val="2"/>
      </rPr>
      <t xml:space="preserve"> Transferertrag 1997-2012: 44 Anteile und Beiträge ohne Zweckbindung, 45 Rückerstatttungen von Gemeinwesen, 46 Beiträge für eigene Rechnung</t>
    </r>
  </si>
  <si>
    <r>
      <t>3)</t>
    </r>
    <r>
      <rPr>
        <sz val="10"/>
        <rFont val="Arial Narrow"/>
        <family val="2"/>
      </rPr>
      <t xml:space="preserve"> Ausserordentlicher Ertrag 1997-2012:  
2005: Golderlös SNB 511,2 Mio.
2006: Agio Rückzahlung Dotationskapital GKB 99,8 Mio. und Aufwertungsgewinn Umwandlung Dotations- in PS-Kapital GKB 136  Mio. 
2009: Aufwertungsgewinn aus Umwandlung Dotations- in PS-Kapital GKB 184 Mio.</t>
    </r>
  </si>
  <si>
    <r>
      <t>5)</t>
    </r>
    <r>
      <rPr>
        <sz val="10"/>
        <rFont val="Arial Narrow"/>
        <family val="2"/>
      </rPr>
      <t xml:space="preserve"> 489: Entnahmen aus dem Eigenkapital (Vorfinanzierungsentnahmen)</t>
    </r>
  </si>
  <si>
    <r>
      <t>4)</t>
    </r>
    <r>
      <rPr>
        <sz val="10"/>
        <rFont val="Arial Narrow"/>
        <family val="2"/>
      </rPr>
      <t xml:space="preserve"> 484: Ausserordentliche Finanzerträge  (ab 2020 Gewinne Wertschriften aus übergeordnet politischem Interesse gehalten gem. Art. 2b Abs. 3 lit. b FHV)</t>
    </r>
  </si>
  <si>
    <r>
      <rPr>
        <vertAlign val="superscript"/>
        <sz val="10"/>
        <rFont val="Arial Narrow"/>
        <family val="2"/>
      </rPr>
      <t>1)</t>
    </r>
    <r>
      <rPr>
        <sz val="10"/>
        <rFont val="Arial Narrow"/>
        <family val="2"/>
      </rPr>
      <t xml:space="preserve"> ohne Abschreibungen und ohne durchlaufende Beiträge, inklusive interne Verrechnungen</t>
    </r>
  </si>
  <si>
    <r>
      <rPr>
        <vertAlign val="superscript"/>
        <sz val="10"/>
        <rFont val="Arial Narrow"/>
        <family val="2"/>
      </rPr>
      <t xml:space="preserve">2) </t>
    </r>
    <r>
      <rPr>
        <sz val="10"/>
        <rFont val="Arial Narrow"/>
        <family val="2"/>
      </rPr>
      <t>ohne durchlaufende Beiträge, inklusive interne Verrechnungen</t>
    </r>
  </si>
  <si>
    <r>
      <rPr>
        <vertAlign val="superscript"/>
        <sz val="10"/>
        <rFont val="Arial Narrow"/>
        <family val="2"/>
      </rPr>
      <t xml:space="preserve">3) </t>
    </r>
    <r>
      <rPr>
        <sz val="10"/>
        <rFont val="Arial Narrow"/>
        <family val="2"/>
      </rPr>
      <t>Budget ohne Nachtragskredite</t>
    </r>
  </si>
  <si>
    <r>
      <rPr>
        <vertAlign val="superscript"/>
        <sz val="10"/>
        <rFont val="Arial Narrow"/>
        <family val="2"/>
      </rPr>
      <t xml:space="preserve">4) </t>
    </r>
    <r>
      <rPr>
        <sz val="10"/>
        <rFont val="Arial Narrow"/>
        <family val="2"/>
      </rPr>
      <t xml:space="preserve">für den finanzpolitischen Richtwert Nr. 5 betreffend maximal zulässigen Ausgabenüberschuss relevant
</t>
    </r>
    <r>
      <rPr>
        <sz val="10"/>
        <color rgb="FF00B050"/>
        <rFont val="Arial Narrow"/>
        <family val="2"/>
      </rPr>
      <t>Grün: Richtwert Nr. 5 eingehalten,</t>
    </r>
    <r>
      <rPr>
        <sz val="10"/>
        <rFont val="Arial Narrow"/>
        <family val="2"/>
      </rPr>
      <t xml:space="preserve"> </t>
    </r>
    <r>
      <rPr>
        <sz val="10"/>
        <color rgb="FFFF0000"/>
        <rFont val="Arial Narrow"/>
        <family val="2"/>
      </rPr>
      <t>Rot: Richtwert Nr. 5 nicht eingehalten.</t>
    </r>
  </si>
  <si>
    <t>RE 2025</t>
  </si>
  <si>
    <r>
      <rPr>
        <vertAlign val="superscript"/>
        <sz val="10"/>
        <rFont val="Arial Narrow"/>
        <family val="2"/>
      </rPr>
      <t>2)</t>
    </r>
    <r>
      <rPr>
        <sz val="10"/>
        <rFont val="Arial Narrow"/>
        <family val="2"/>
      </rPr>
      <t xml:space="preserve"> BIP-Zahlen gemäss Bundesamt für Statistik (www.bfs.admin.ch) und BAK Economics (www.bak-economics.com)</t>
    </r>
  </si>
  <si>
    <r>
      <t>Einwohner per 31.12.</t>
    </r>
    <r>
      <rPr>
        <vertAlign val="superscript"/>
        <sz val="10"/>
        <rFont val="Arial Narrow"/>
        <family val="2"/>
      </rPr>
      <t xml:space="preserve"> 3)</t>
    </r>
  </si>
  <si>
    <r>
      <t xml:space="preserve">3) </t>
    </r>
    <r>
      <rPr>
        <sz val="10"/>
        <rFont val="Arial Narrow"/>
        <family val="2"/>
      </rPr>
      <t>Vorjahre: 31.12. des jeweiligen Rechnungsjahrs, Berichtsjahr: 31.12. des Vorjahrs</t>
    </r>
  </si>
  <si>
    <r>
      <t>5)</t>
    </r>
    <r>
      <rPr>
        <sz val="10"/>
        <rFont val="Arial Narrow"/>
        <family val="2"/>
      </rPr>
      <t xml:space="preserve"> für den finanzpolitischen Richtwert Nr. 1 relevant. </t>
    </r>
    <r>
      <rPr>
        <sz val="10"/>
        <color rgb="FF00B050"/>
        <rFont val="Arial Narrow"/>
        <family val="2"/>
      </rPr>
      <t>Grün: Richtwert eingehalten</t>
    </r>
    <r>
      <rPr>
        <sz val="10"/>
        <rFont val="Arial Narrow"/>
        <family val="2"/>
      </rPr>
      <t xml:space="preserve">, </t>
    </r>
    <r>
      <rPr>
        <sz val="10"/>
        <color rgb="FFFF0000"/>
        <rFont val="Arial Narrow"/>
        <family val="2"/>
      </rPr>
      <t>Rot: Richtwert nicht eingehalten</t>
    </r>
  </si>
  <si>
    <t>Ø 04
-25</t>
  </si>
  <si>
    <t>Ø 97
-25</t>
  </si>
  <si>
    <t>Ø  RP 25-28</t>
  </si>
  <si>
    <t>Enthält Einlage in die Spezialfinanzierung Klimaschutz und Innovation (200,0 Mio., BU 0,0 Mio.). und eine dreifache Gewinnausschüttung SNB sowie eine Sonderzuweisung vonseiten der SNB aufgrund nicht umgetauschter Banknoten der 6. Banknotenserie (56,7 Mio., BU 11,0 Mio.)</t>
  </si>
  <si>
    <r>
      <t xml:space="preserve">2025 </t>
    </r>
    <r>
      <rPr>
        <b/>
        <vertAlign val="superscript"/>
        <sz val="10"/>
        <rFont val="Arial Narrow"/>
        <family val="2"/>
      </rPr>
      <t>5)</t>
    </r>
  </si>
  <si>
    <r>
      <rPr>
        <vertAlign val="superscript"/>
        <sz val="10"/>
        <rFont val="Arial Narrow"/>
        <family val="2"/>
      </rPr>
      <t>4)</t>
    </r>
    <r>
      <rPr>
        <sz val="10"/>
        <rFont val="Arial Narrow"/>
        <family val="2"/>
      </rPr>
      <t xml:space="preserve"> für den finanzpolitischen Richtwert Nr. 2 relevant. </t>
    </r>
    <r>
      <rPr>
        <sz val="10"/>
        <color theme="6" tint="-0.249977111117893"/>
        <rFont val="Arial Narrow"/>
        <family val="2"/>
      </rPr>
      <t>Grün: Richtwert eingehalten</t>
    </r>
    <r>
      <rPr>
        <sz val="10"/>
        <rFont val="Arial Narrow"/>
        <family val="2"/>
      </rPr>
      <t>,</t>
    </r>
    <r>
      <rPr>
        <sz val="10"/>
        <color theme="5" tint="-0.249977111117893"/>
        <rFont val="Arial Narrow"/>
        <family val="2"/>
      </rPr>
      <t xml:space="preserve"> Rot: Richtwert nicht eingehalten</t>
    </r>
  </si>
  <si>
    <t>Ausweis / Herleitung siehe Budgetbotschaft 2025, Seite 78</t>
  </si>
  <si>
    <t>Bestand
31.12.2025</t>
  </si>
  <si>
    <t>SF Klimaschutz und Innovation</t>
  </si>
  <si>
    <r>
      <rPr>
        <vertAlign val="superscript"/>
        <sz val="10"/>
        <rFont val="Arial Narrow"/>
        <family val="2"/>
      </rPr>
      <t>3)</t>
    </r>
    <r>
      <rPr>
        <sz val="10"/>
        <rFont val="Arial Narrow"/>
        <family val="2"/>
      </rPr>
      <t xml:space="preserve"> bis 2012 Nettoinvestitionen bereinigt um ausserordentliche Investitionen, ab 2013 richtwertrelelevante Nettoinvestitionen, siehe Tabellenblatt "Ergebnisse Investitionsrechnung". Die Definition der richtwertrelevanten Nettoinvestitionen kann sich aufgrund der sich im Zeitablauf ändernden finanzpolitischen Richtwerte unterscheiden.</t>
    </r>
  </si>
  <si>
    <r>
      <rPr>
        <vertAlign val="superscript"/>
        <sz val="10"/>
        <rFont val="Arial Narrow"/>
        <family val="2"/>
      </rPr>
      <t>9)</t>
    </r>
    <r>
      <rPr>
        <sz val="10"/>
        <rFont val="Arial Narrow"/>
        <family val="2"/>
      </rPr>
      <t xml:space="preserve"> 389: Einlagen in das Eigenkapital:
2015:  Vorfinanzierung systemrelevanter Infrastrukturen: 80 Mio.
2018:  Vorfinanzierung Hochschulzentrum Chur: 90 Mio.
2020:  Vorfinanzierung digitale Transformation: 40 Mio.
2021:  Vorfinanzierung Green Deal GR: 67 Mio.
2022:  Erhöhung Vorfinanzierung Fachhochschulzentrum Graubünden, Chur: 60 Mio.
2024:  Erhöhung Vorfinanzierung Green Deal GR: 20 Mio.
2025:  Erhöhung Vorfinanzierung systemrelevanter Infrastrukturen: 35 Mio.</t>
    </r>
  </si>
  <si>
    <r>
      <rPr>
        <vertAlign val="superscript"/>
        <sz val="10"/>
        <rFont val="Arial Narrow"/>
        <family val="2"/>
      </rPr>
      <t>8)</t>
    </r>
    <r>
      <rPr>
        <sz val="10"/>
        <rFont val="Arial Narrow"/>
        <family val="2"/>
      </rPr>
      <t xml:space="preserve"> Übertragung des Überschusses der SF Strassen an den allgemeinen Finanzbereich 
(Konto 6200.398023):  
2021: 6,3 Mio.
2022: 1,4 Mio.
2023: 0,3 Mio.
und ohne die budgetierte Übertragung aus allgemeinen Staatsmitteln vom allgemeinen Finanzbereich
(Konto 6200.498012):
2021: Budget 20,2 Mio.
2022: Budget 20,8 Mio.
2023: Budget 21,9 Mio.
mit nur teilweiser Übertragung aus allgemeinen Staatsmitteln vom allgemeinen Finanzbereich
(Konto 6200.498012): 
2016: 17,3 Mio., Budget 19,4 Mio.
2017: 20,0 Mio., Budget 20,2 Mio.
2018:   7,6 Mio., Budget 20,3 Mio.
2019:   0,3 Mio., Budget 20,3 Mio.
2020:   8,4 Mio., Budget 20,3 Mio.
2024: 18,6 Mio., Budget 21,5 Mio.
2025:  3,9 Mio., Budget  22,5 Mio.</t>
    </r>
  </si>
  <si>
    <r>
      <rPr>
        <vertAlign val="superscript"/>
        <sz val="10"/>
        <rFont val="Arial Narrow"/>
        <family val="2"/>
      </rPr>
      <t xml:space="preserve">1) </t>
    </r>
    <r>
      <rPr>
        <sz val="10"/>
        <rFont val="Arial Narrow"/>
        <family val="2"/>
      </rPr>
      <t>Der laufende Ertrag entspricht dem Ertrag (4) ohne Entnahmen aus Spezialfinanzierungen und Fonds des Eigenkapitals (451), durchlaufende Beiträge (47), Entnahmen aus dem Eigenkapital (489) und interne Verrechnungen (49). 
Das Schweizerische Rechnungslegungsgremium für den öffentlichen Sektor hat die Berechnung für den laufenden Ertrag angepasst. Die Entnahmen aus Spezialfinanzierungen und Fonds des Eigenkapitals (451) werden vom laufenden Ertrag abgezogen. Die Jahre 2021 bis 2025 werden mit der neuen Berechnungsart dargestellt.</t>
    </r>
  </si>
  <si>
    <t>Entnahmen Vorfinanzierungen Förderung digitale Transformation (2,9 Mio., BU 6,7 Mio.), systemrelevante Infrastrukturen (6,7 Mio., BU 4,5 Mio.), Green Deal GR (17,9 Mio., BU 18,4 Mio.) und Albulatunnel RhB (0,9 Mio., BU 1,5 Mio.)</t>
  </si>
  <si>
    <r>
      <rPr>
        <vertAlign val="superscript"/>
        <sz val="10"/>
        <rFont val="Arial Narrow"/>
        <family val="2"/>
      </rPr>
      <t>5)</t>
    </r>
    <r>
      <rPr>
        <sz val="10"/>
        <rFont val="Arial Narrow"/>
        <family val="2"/>
      </rPr>
      <t xml:space="preserve"> Die richtwertrelevanten Nettoinvestitionen berechnen sich ab 2025 erstmals nach den neuen finanzpolitischen Richtwerten für die Jahre 2025 bis 2028 und sind daher nicht direkt mit denen der Vorjahre vergleichbar.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</si>
</sst>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0.0"/>
    <numFmt numFmtId="165" formatCode="0.0"/>
    <numFmt numFmtId="166" formatCode="0.0%"/>
    <numFmt numFmtId="167" formatCode="#,##0.000000"/>
    <numFmt numFmtId="168" formatCode="###\ ###\ ###\ ##0"/>
    <numFmt numFmtId="169" formatCode="#,##0.00000"/>
    <numFmt numFmtId="170" formatCode="#,##0.000000000"/>
  </numFmts>
  <fonts count="41" x14ac:knownFonts="1">
    <font>
      <sz val="10"/>
      <color theme="1"/>
      <name val="Arial"/>
      <family val="2"/>
    </font>
    <font>
      <sz val="11"/>
      <color theme="1"/>
      <name val="Calibri"/>
      <family val="2"/>
      <scheme val="minor"/>
    </font>
    <font>
      <sz val="11"/>
      <color theme="1"/>
      <name val="Calibri"/>
      <family val="2"/>
      <scheme val="minor"/>
    </font>
    <font>
      <b/>
      <sz val="12"/>
      <color theme="1"/>
      <name val="Arial Narrow"/>
      <family val="2"/>
    </font>
    <font>
      <sz val="10"/>
      <color theme="1"/>
      <name val="Arial Narrow"/>
      <family val="2"/>
    </font>
    <font>
      <b/>
      <sz val="10"/>
      <color theme="1"/>
      <name val="Arial Narrow"/>
      <family val="2"/>
    </font>
    <font>
      <sz val="10"/>
      <name val="Arial Narrow"/>
      <family val="2"/>
    </font>
    <font>
      <b/>
      <sz val="10"/>
      <name val="Arial Narrow"/>
      <family val="2"/>
    </font>
    <font>
      <sz val="10"/>
      <name val="Arial"/>
      <family val="2"/>
    </font>
    <font>
      <b/>
      <sz val="12"/>
      <name val="Arial Narrow"/>
      <family val="2"/>
    </font>
    <font>
      <sz val="12"/>
      <name val="Arial Narrow"/>
      <family val="2"/>
    </font>
    <font>
      <b/>
      <sz val="10"/>
      <name val="Calibri"/>
      <family val="2"/>
    </font>
    <font>
      <b/>
      <vertAlign val="superscript"/>
      <sz val="10"/>
      <color theme="1"/>
      <name val="Arial Narrow"/>
      <family val="2"/>
    </font>
    <font>
      <vertAlign val="superscript"/>
      <sz val="10"/>
      <name val="Arial Narrow"/>
      <family val="2"/>
    </font>
    <font>
      <b/>
      <vertAlign val="superscript"/>
      <sz val="10"/>
      <name val="Arial Narrow"/>
      <family val="2"/>
    </font>
    <font>
      <b/>
      <sz val="10"/>
      <color theme="1"/>
      <name val="Arial"/>
      <family val="2"/>
    </font>
    <font>
      <sz val="10"/>
      <color theme="1"/>
      <name val="Arial"/>
      <family val="2"/>
    </font>
    <font>
      <vertAlign val="superscript"/>
      <sz val="10"/>
      <color theme="1"/>
      <name val="Arial Narrow"/>
      <family val="2"/>
    </font>
    <font>
      <sz val="10"/>
      <color theme="5" tint="-0.249977111117893"/>
      <name val="Arial Narrow"/>
      <family val="2"/>
    </font>
    <font>
      <sz val="10"/>
      <color theme="6" tint="-0.249977111117893"/>
      <name val="Arial Narrow"/>
      <family val="2"/>
    </font>
    <font>
      <b/>
      <sz val="10"/>
      <color rgb="FFFF0000"/>
      <name val="Calibri"/>
      <family val="2"/>
    </font>
    <font>
      <sz val="10"/>
      <color rgb="FFFF0000"/>
      <name val="Arial Narrow"/>
      <family val="2"/>
    </font>
    <font>
      <b/>
      <i/>
      <sz val="10"/>
      <color theme="1"/>
      <name val="Arial Narrow"/>
      <family val="2"/>
    </font>
    <font>
      <b/>
      <i/>
      <vertAlign val="superscript"/>
      <sz val="10"/>
      <color theme="1"/>
      <name val="Arial Narrow"/>
      <family val="2"/>
    </font>
    <font>
      <i/>
      <sz val="10"/>
      <color theme="1"/>
      <name val="Arial Narrow"/>
      <family val="2"/>
    </font>
    <font>
      <i/>
      <sz val="10"/>
      <name val="Arial Narrow"/>
      <family val="2"/>
    </font>
    <font>
      <i/>
      <sz val="10"/>
      <name val="Symbol"/>
      <family val="1"/>
      <charset val="2"/>
    </font>
    <font>
      <i/>
      <sz val="10"/>
      <color theme="1"/>
      <name val="Arial"/>
      <family val="2"/>
    </font>
    <font>
      <b/>
      <sz val="11"/>
      <color theme="1"/>
      <name val="Calibri"/>
      <family val="2"/>
      <scheme val="minor"/>
    </font>
    <font>
      <u/>
      <sz val="10"/>
      <color theme="10"/>
      <name val="Arial"/>
      <family val="2"/>
    </font>
    <font>
      <sz val="7.5"/>
      <color theme="1"/>
      <name val="Arial Narrow"/>
      <family val="2"/>
    </font>
    <font>
      <b/>
      <sz val="7.5"/>
      <color theme="1"/>
      <name val="Arial Narrow"/>
      <family val="2"/>
    </font>
    <font>
      <b/>
      <sz val="7.5"/>
      <name val="Arial Narrow"/>
      <family val="2"/>
    </font>
    <font>
      <sz val="7.5"/>
      <name val="Arial Narrow"/>
      <family val="2"/>
    </font>
    <font>
      <vertAlign val="superscript"/>
      <sz val="7.5"/>
      <name val="Arial Narrow"/>
      <family val="2"/>
    </font>
    <font>
      <sz val="11"/>
      <color rgb="FFFF0000"/>
      <name val="Calibri"/>
      <family val="2"/>
      <scheme val="minor"/>
    </font>
    <font>
      <sz val="11"/>
      <name val="Arial"/>
      <family val="2"/>
    </font>
    <font>
      <b/>
      <sz val="10"/>
      <color rgb="FFFF0000"/>
      <name val="Arial Narrow"/>
      <family val="2"/>
    </font>
    <font>
      <sz val="10"/>
      <color rgb="FF00B050"/>
      <name val="Arial Narrow"/>
      <family val="2"/>
    </font>
    <font>
      <b/>
      <sz val="10"/>
      <name val="Arial"/>
      <family val="2"/>
    </font>
    <font>
      <u/>
      <sz val="10"/>
      <name val="Arial Narrow"/>
      <family val="2"/>
    </font>
  </fonts>
  <fills count="8">
    <fill>
      <patternFill patternType="none"/>
    </fill>
    <fill>
      <patternFill patternType="gray125"/>
    </fill>
    <fill>
      <patternFill patternType="solid">
        <fgColor theme="0"/>
        <bgColor indexed="64"/>
      </patternFill>
    </fill>
    <fill>
      <patternFill patternType="solid">
        <fgColor rgb="FFAAD7FF"/>
        <bgColor indexed="64"/>
      </patternFill>
    </fill>
    <fill>
      <patternFill patternType="solid">
        <fgColor rgb="FFC6EFCE"/>
        <bgColor indexed="64"/>
      </patternFill>
    </fill>
    <fill>
      <patternFill patternType="solid">
        <fgColor theme="5" tint="0.59999389629810485"/>
        <bgColor indexed="64"/>
      </patternFill>
    </fill>
    <fill>
      <patternFill patternType="solid">
        <fgColor rgb="FFE6B8B7"/>
        <bgColor indexed="64"/>
      </patternFill>
    </fill>
    <fill>
      <gradientFill degree="90">
        <stop position="0">
          <color rgb="FFE6B8B7"/>
        </stop>
        <stop position="1">
          <color rgb="FFC6EFCE"/>
        </stop>
      </gradientFill>
    </fill>
  </fills>
  <borders count="8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right style="hair">
        <color auto="1"/>
      </right>
      <top/>
      <bottom/>
      <diagonal/>
    </border>
    <border>
      <left/>
      <right/>
      <top style="hair">
        <color auto="1"/>
      </top>
      <bottom style="hair">
        <color auto="1"/>
      </bottom>
      <diagonal/>
    </border>
    <border>
      <left/>
      <right/>
      <top style="thin">
        <color auto="1"/>
      </top>
      <bottom/>
      <diagonal/>
    </border>
    <border>
      <left/>
      <right/>
      <top/>
      <bottom style="hair">
        <color auto="1"/>
      </bottom>
      <diagonal/>
    </border>
    <border>
      <left/>
      <right/>
      <top style="hair">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thin">
        <color auto="1"/>
      </right>
      <top/>
      <bottom/>
      <diagonal/>
    </border>
    <border>
      <left style="thin">
        <color auto="1"/>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diagonal/>
    </border>
    <border>
      <left style="thin">
        <color auto="1"/>
      </left>
      <right style="hair">
        <color auto="1"/>
      </right>
      <top style="hair">
        <color auto="1"/>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right style="thin">
        <color auto="1"/>
      </right>
      <top style="hair">
        <color auto="1"/>
      </top>
      <bottom/>
      <diagonal/>
    </border>
    <border>
      <left style="hair">
        <color auto="1"/>
      </left>
      <right/>
      <top/>
      <bottom style="thin">
        <color auto="1"/>
      </bottom>
      <diagonal/>
    </border>
    <border>
      <left/>
      <right style="hair">
        <color auto="1"/>
      </right>
      <top/>
      <bottom style="thin">
        <color auto="1"/>
      </bottom>
      <diagonal/>
    </border>
    <border>
      <left style="hair">
        <color auto="1"/>
      </left>
      <right/>
      <top style="thin">
        <color indexed="64"/>
      </top>
      <bottom style="thin">
        <color auto="1"/>
      </bottom>
      <diagonal/>
    </border>
    <border>
      <left style="thin">
        <color indexed="64"/>
      </left>
      <right style="thin">
        <color auto="1"/>
      </right>
      <top/>
      <bottom style="hair">
        <color auto="1"/>
      </bottom>
      <diagonal/>
    </border>
  </borders>
  <cellStyleXfs count="6">
    <xf numFmtId="0" fontId="0" fillId="0" borderId="0"/>
    <xf numFmtId="0" fontId="8" fillId="0" borderId="0"/>
    <xf numFmtId="9" fontId="16" fillId="0" borderId="0" applyFont="0" applyFill="0" applyBorder="0" applyAlignment="0" applyProtection="0"/>
    <xf numFmtId="0" fontId="29" fillId="0" borderId="0" applyNumberFormat="0" applyFill="0" applyBorder="0" applyAlignment="0" applyProtection="0"/>
    <xf numFmtId="0" fontId="2" fillId="0" borderId="0"/>
    <xf numFmtId="43" fontId="2" fillId="0" borderId="0" applyFont="0" applyFill="0" applyBorder="0" applyAlignment="0" applyProtection="0"/>
  </cellStyleXfs>
  <cellXfs count="645">
    <xf numFmtId="0" fontId="0" fillId="0" borderId="0" xfId="0"/>
    <xf numFmtId="0" fontId="3" fillId="0" borderId="0" xfId="0" applyFont="1"/>
    <xf numFmtId="0" fontId="4" fillId="0" borderId="0" xfId="0" applyFont="1"/>
    <xf numFmtId="0" fontId="4" fillId="0" borderId="0" xfId="0" applyFont="1" applyAlignment="1">
      <alignment horizontal="right" vertical="center"/>
    </xf>
    <xf numFmtId="0" fontId="4" fillId="0" borderId="0" xfId="0" applyFont="1" applyAlignment="1">
      <alignment horizontal="right" vertical="center" indent="1"/>
    </xf>
    <xf numFmtId="0" fontId="4" fillId="0" borderId="0" xfId="0" applyFont="1" applyAlignment="1">
      <alignment horizontal="right"/>
    </xf>
    <xf numFmtId="0" fontId="4" fillId="0" borderId="0" xfId="0" applyFont="1" applyAlignment="1">
      <alignment horizontal="left" vertical="center"/>
    </xf>
    <xf numFmtId="0" fontId="4" fillId="0" borderId="4" xfId="0" applyFont="1" applyBorder="1"/>
    <xf numFmtId="0" fontId="5" fillId="0" borderId="13" xfId="0" applyFont="1" applyBorder="1" applyAlignment="1">
      <alignment horizontal="right" wrapText="1"/>
    </xf>
    <xf numFmtId="0" fontId="4" fillId="0" borderId="0" xfId="0" applyFont="1" applyAlignment="1">
      <alignment vertical="center"/>
    </xf>
    <xf numFmtId="0" fontId="5" fillId="0" borderId="5" xfId="0" applyFont="1" applyBorder="1" applyAlignment="1">
      <alignment horizontal="right"/>
    </xf>
    <xf numFmtId="0" fontId="5" fillId="0" borderId="14" xfId="0" applyFont="1" applyBorder="1" applyAlignment="1">
      <alignment horizontal="right" wrapText="1"/>
    </xf>
    <xf numFmtId="0" fontId="5" fillId="3" borderId="15" xfId="0" applyFont="1" applyFill="1" applyBorder="1" applyAlignment="1">
      <alignment horizontal="right" wrapText="1"/>
    </xf>
    <xf numFmtId="0" fontId="5" fillId="0" borderId="16" xfId="0" applyFont="1" applyBorder="1" applyAlignment="1">
      <alignment horizontal="right" wrapText="1"/>
    </xf>
    <xf numFmtId="0" fontId="4" fillId="0" borderId="0" xfId="0" applyFont="1" applyAlignment="1">
      <alignment horizontal="left"/>
    </xf>
    <xf numFmtId="0" fontId="7" fillId="0" borderId="13" xfId="0" applyFont="1" applyBorder="1" applyAlignment="1">
      <alignment horizontal="right" wrapText="1"/>
    </xf>
    <xf numFmtId="0" fontId="8" fillId="0" borderId="0" xfId="1"/>
    <xf numFmtId="0" fontId="6" fillId="0" borderId="0" xfId="1" applyFont="1"/>
    <xf numFmtId="0" fontId="9" fillId="0" borderId="0" xfId="1" applyFont="1"/>
    <xf numFmtId="0" fontId="10" fillId="0" borderId="0" xfId="1" applyFont="1"/>
    <xf numFmtId="0" fontId="6" fillId="0" borderId="0" xfId="1" applyFont="1" applyAlignment="1">
      <alignment horizontal="center"/>
    </xf>
    <xf numFmtId="164" fontId="4" fillId="0" borderId="0" xfId="0" applyNumberFormat="1" applyFont="1"/>
    <xf numFmtId="164" fontId="6" fillId="0" borderId="18" xfId="1" applyNumberFormat="1" applyFont="1" applyBorder="1" applyAlignment="1">
      <alignment horizontal="left" wrapText="1"/>
    </xf>
    <xf numFmtId="0" fontId="10" fillId="0" borderId="0" xfId="1" applyFont="1" applyAlignment="1">
      <alignment horizontal="left" wrapText="1"/>
    </xf>
    <xf numFmtId="0" fontId="6" fillId="0" borderId="0" xfId="1" applyFont="1" applyAlignment="1">
      <alignment horizontal="left" wrapText="1"/>
    </xf>
    <xf numFmtId="0" fontId="8" fillId="0" borderId="0" xfId="1" applyAlignment="1">
      <alignment horizontal="left" wrapText="1"/>
    </xf>
    <xf numFmtId="0" fontId="5" fillId="0" borderId="0" xfId="0" applyFont="1"/>
    <xf numFmtId="0" fontId="4" fillId="0" borderId="0" xfId="0" applyFont="1" applyAlignment="1">
      <alignment horizontal="left" wrapText="1"/>
    </xf>
    <xf numFmtId="0" fontId="6" fillId="0" borderId="0" xfId="0" applyFont="1" applyAlignment="1">
      <alignment horizontal="right" vertical="center"/>
    </xf>
    <xf numFmtId="0" fontId="13" fillId="0" borderId="0" xfId="1" applyFont="1"/>
    <xf numFmtId="0" fontId="4" fillId="0" borderId="0" xfId="0" applyFont="1" applyAlignment="1">
      <alignment horizontal="left" vertical="top" wrapText="1"/>
    </xf>
    <xf numFmtId="165" fontId="4" fillId="0" borderId="0" xfId="0" applyNumberFormat="1" applyFont="1" applyAlignment="1">
      <alignment horizontal="right" vertical="center" indent="1"/>
    </xf>
    <xf numFmtId="0" fontId="5" fillId="0" borderId="36" xfId="0" applyFont="1" applyBorder="1" applyAlignment="1">
      <alignment horizontal="left" vertical="top" wrapText="1"/>
    </xf>
    <xf numFmtId="164" fontId="6" fillId="0" borderId="32" xfId="1" applyNumberFormat="1" applyFont="1" applyBorder="1" applyAlignment="1">
      <alignment horizontal="left" wrapText="1"/>
    </xf>
    <xf numFmtId="164" fontId="5" fillId="0" borderId="37" xfId="0" applyNumberFormat="1" applyFont="1" applyBorder="1" applyAlignment="1">
      <alignment horizontal="left" wrapText="1"/>
    </xf>
    <xf numFmtId="164" fontId="5" fillId="0" borderId="38" xfId="0" applyNumberFormat="1" applyFont="1" applyBorder="1" applyAlignment="1">
      <alignment horizontal="left" vertical="center" wrapText="1"/>
    </xf>
    <xf numFmtId="164" fontId="5" fillId="0" borderId="37" xfId="0" applyNumberFormat="1" applyFont="1" applyBorder="1" applyAlignment="1">
      <alignment horizontal="left" vertical="center" wrapText="1"/>
    </xf>
    <xf numFmtId="164" fontId="5" fillId="0" borderId="36" xfId="0" applyNumberFormat="1" applyFont="1" applyBorder="1" applyAlignment="1">
      <alignment horizontal="left" wrapText="1"/>
    </xf>
    <xf numFmtId="164" fontId="6" fillId="0" borderId="0" xfId="1" applyNumberFormat="1" applyFont="1" applyAlignment="1">
      <alignment horizontal="left" wrapText="1"/>
    </xf>
    <xf numFmtId="164" fontId="6" fillId="0" borderId="35" xfId="1" applyNumberFormat="1" applyFont="1" applyBorder="1" applyAlignment="1">
      <alignment horizontal="left" wrapText="1"/>
    </xf>
    <xf numFmtId="164" fontId="6" fillId="0" borderId="41" xfId="1" applyNumberFormat="1" applyFont="1" applyBorder="1" applyAlignment="1">
      <alignment horizontal="left" wrapText="1"/>
    </xf>
    <xf numFmtId="0" fontId="5" fillId="0" borderId="45" xfId="0" applyFont="1" applyBorder="1" applyAlignment="1">
      <alignment horizontal="left" wrapText="1"/>
    </xf>
    <xf numFmtId="0" fontId="5" fillId="0" borderId="0" xfId="0" applyFont="1" applyAlignment="1">
      <alignment horizontal="left" wrapText="1"/>
    </xf>
    <xf numFmtId="0" fontId="5" fillId="0" borderId="17" xfId="0" applyFont="1" applyBorder="1" applyAlignment="1">
      <alignment horizontal="left" wrapText="1"/>
    </xf>
    <xf numFmtId="0" fontId="5" fillId="0" borderId="0" xfId="0" applyFont="1" applyAlignment="1">
      <alignment horizontal="right" wrapText="1"/>
    </xf>
    <xf numFmtId="164" fontId="4" fillId="0" borderId="0" xfId="0" applyNumberFormat="1" applyFont="1" applyAlignment="1">
      <alignment horizontal="right" vertical="center"/>
    </xf>
    <xf numFmtId="164" fontId="6" fillId="0" borderId="0" xfId="0" applyNumberFormat="1" applyFont="1" applyAlignment="1">
      <alignment horizontal="right" vertical="center"/>
    </xf>
    <xf numFmtId="0" fontId="5" fillId="0" borderId="45" xfId="0" applyFont="1" applyBorder="1" applyAlignment="1">
      <alignment horizontal="right" wrapText="1"/>
    </xf>
    <xf numFmtId="0" fontId="5" fillId="0" borderId="17" xfId="0" applyFont="1" applyBorder="1" applyAlignment="1">
      <alignment horizontal="right"/>
    </xf>
    <xf numFmtId="0" fontId="5" fillId="0" borderId="35" xfId="0" applyFont="1" applyBorder="1" applyAlignment="1">
      <alignment horizontal="right"/>
    </xf>
    <xf numFmtId="0" fontId="5" fillId="0" borderId="17" xfId="0" applyFont="1" applyBorder="1" applyAlignment="1">
      <alignment horizontal="right" wrapText="1"/>
    </xf>
    <xf numFmtId="0" fontId="5" fillId="0" borderId="52" xfId="0" applyFont="1" applyBorder="1" applyAlignment="1">
      <alignment horizontal="right" wrapText="1"/>
    </xf>
    <xf numFmtId="0" fontId="5" fillId="0" borderId="19" xfId="0" applyFont="1" applyBorder="1" applyAlignment="1">
      <alignment horizontal="right" wrapText="1"/>
    </xf>
    <xf numFmtId="0" fontId="5" fillId="0" borderId="53" xfId="0" applyFont="1" applyBorder="1" applyAlignment="1">
      <alignment horizontal="right" wrapText="1"/>
    </xf>
    <xf numFmtId="0" fontId="5" fillId="0" borderId="25" xfId="0" applyFont="1" applyBorder="1" applyAlignment="1">
      <alignment horizontal="right" wrapText="1"/>
    </xf>
    <xf numFmtId="0" fontId="4" fillId="0" borderId="27" xfId="0" applyFont="1" applyBorder="1"/>
    <xf numFmtId="0" fontId="5" fillId="0" borderId="54" xfId="0" applyFont="1" applyBorder="1" applyAlignment="1">
      <alignment horizontal="left" vertical="center" indent="1"/>
    </xf>
    <xf numFmtId="0" fontId="5" fillId="0" borderId="56" xfId="0" applyFont="1" applyBorder="1" applyAlignment="1">
      <alignment horizontal="left" vertical="center" indent="1"/>
    </xf>
    <xf numFmtId="0" fontId="5" fillId="0" borderId="58" xfId="0" applyFont="1" applyBorder="1" applyAlignment="1">
      <alignment horizontal="left" vertical="center" indent="1"/>
    </xf>
    <xf numFmtId="0" fontId="5" fillId="0" borderId="50" xfId="0" applyFont="1" applyBorder="1" applyAlignment="1">
      <alignment horizontal="left" vertical="center" indent="1"/>
    </xf>
    <xf numFmtId="0" fontId="7" fillId="0" borderId="25" xfId="1" applyFont="1" applyBorder="1" applyAlignment="1">
      <alignment horizontal="right"/>
    </xf>
    <xf numFmtId="164" fontId="5" fillId="0" borderId="28" xfId="0" applyNumberFormat="1" applyFont="1" applyBorder="1" applyAlignment="1">
      <alignment horizontal="left" wrapText="1"/>
    </xf>
    <xf numFmtId="164" fontId="5" fillId="0" borderId="29" xfId="0" applyNumberFormat="1" applyFont="1" applyBorder="1" applyAlignment="1">
      <alignment horizontal="left" wrapText="1"/>
    </xf>
    <xf numFmtId="164" fontId="5" fillId="0" borderId="51" xfId="0" applyNumberFormat="1" applyFont="1" applyBorder="1" applyAlignment="1">
      <alignment horizontal="left" wrapText="1"/>
    </xf>
    <xf numFmtId="164" fontId="6" fillId="0" borderId="57" xfId="1" applyNumberFormat="1" applyFont="1" applyBorder="1" applyAlignment="1">
      <alignment horizontal="left" wrapText="1"/>
    </xf>
    <xf numFmtId="164" fontId="6" fillId="0" borderId="69" xfId="1" applyNumberFormat="1" applyFont="1" applyBorder="1" applyAlignment="1">
      <alignment horizontal="left" wrapText="1"/>
    </xf>
    <xf numFmtId="164" fontId="6" fillId="0" borderId="55" xfId="1" applyNumberFormat="1" applyFont="1" applyBorder="1" applyAlignment="1">
      <alignment horizontal="left" wrapText="1"/>
    </xf>
    <xf numFmtId="0" fontId="11" fillId="0" borderId="0" xfId="1" applyFont="1" applyAlignment="1">
      <alignment horizontal="right" wrapText="1"/>
    </xf>
    <xf numFmtId="164" fontId="4" fillId="0" borderId="0" xfId="0" applyNumberFormat="1" applyFont="1" applyAlignment="1">
      <alignment horizontal="right"/>
    </xf>
    <xf numFmtId="164" fontId="6" fillId="0" borderId="0" xfId="0" applyNumberFormat="1" applyFont="1" applyAlignment="1">
      <alignment horizontal="right"/>
    </xf>
    <xf numFmtId="166" fontId="6" fillId="0" borderId="0" xfId="2" applyNumberFormat="1" applyFont="1" applyBorder="1" applyAlignment="1">
      <alignment horizontal="right"/>
    </xf>
    <xf numFmtId="0" fontId="11" fillId="0" borderId="60" xfId="1" applyFont="1" applyBorder="1" applyAlignment="1">
      <alignment horizontal="right" wrapText="1"/>
    </xf>
    <xf numFmtId="164" fontId="6" fillId="0" borderId="43" xfId="1" applyNumberFormat="1" applyFont="1" applyBorder="1" applyAlignment="1">
      <alignment horizontal="left" wrapText="1"/>
    </xf>
    <xf numFmtId="164" fontId="6" fillId="0" borderId="61" xfId="1" applyNumberFormat="1" applyFont="1" applyBorder="1" applyAlignment="1">
      <alignment horizontal="left" wrapText="1"/>
    </xf>
    <xf numFmtId="0" fontId="11" fillId="0" borderId="62" xfId="1" applyFont="1" applyBorder="1" applyAlignment="1">
      <alignment horizontal="right" wrapText="1"/>
    </xf>
    <xf numFmtId="164" fontId="6" fillId="0" borderId="63" xfId="1" applyNumberFormat="1" applyFont="1" applyBorder="1" applyAlignment="1">
      <alignment horizontal="left" wrapText="1"/>
    </xf>
    <xf numFmtId="0" fontId="11" fillId="0" borderId="64" xfId="1" applyFont="1" applyBorder="1" applyAlignment="1">
      <alignment horizontal="right" wrapText="1"/>
    </xf>
    <xf numFmtId="164" fontId="6" fillId="0" borderId="48" xfId="1" applyNumberFormat="1" applyFont="1" applyBorder="1" applyAlignment="1">
      <alignment horizontal="left" wrapText="1"/>
    </xf>
    <xf numFmtId="164" fontId="6" fillId="0" borderId="65" xfId="1" applyNumberFormat="1" applyFont="1" applyBorder="1" applyAlignment="1">
      <alignment horizontal="left" wrapText="1"/>
    </xf>
    <xf numFmtId="0" fontId="5" fillId="0" borderId="27" xfId="0" applyFont="1" applyBorder="1"/>
    <xf numFmtId="0" fontId="5" fillId="0" borderId="29" xfId="0" applyFont="1" applyBorder="1" applyAlignment="1">
      <alignment horizontal="left" wrapText="1"/>
    </xf>
    <xf numFmtId="0" fontId="5" fillId="0" borderId="9" xfId="0" applyFont="1" applyBorder="1" applyAlignment="1">
      <alignment horizontal="left" wrapText="1"/>
    </xf>
    <xf numFmtId="164" fontId="4" fillId="0" borderId="55" xfId="0" applyNumberFormat="1" applyFont="1" applyBorder="1" applyAlignment="1">
      <alignment horizontal="left" vertical="center" wrapText="1"/>
    </xf>
    <xf numFmtId="164" fontId="4" fillId="0" borderId="57" xfId="0" applyNumberFormat="1" applyFont="1" applyBorder="1" applyAlignment="1">
      <alignment horizontal="left" vertical="center" wrapText="1"/>
    </xf>
    <xf numFmtId="164" fontId="6" fillId="0" borderId="59" xfId="0" applyNumberFormat="1" applyFont="1" applyBorder="1" applyAlignment="1">
      <alignment horizontal="left" vertical="center" wrapText="1"/>
    </xf>
    <xf numFmtId="164" fontId="6" fillId="0" borderId="51" xfId="0" applyNumberFormat="1" applyFont="1" applyBorder="1" applyAlignment="1">
      <alignment horizontal="left" vertical="center" wrapText="1"/>
    </xf>
    <xf numFmtId="164" fontId="6" fillId="0" borderId="57" xfId="0" applyNumberFormat="1" applyFont="1" applyBorder="1" applyAlignment="1">
      <alignment horizontal="left" vertical="center" wrapText="1"/>
    </xf>
    <xf numFmtId="164" fontId="6" fillId="0" borderId="69" xfId="0" applyNumberFormat="1" applyFont="1" applyBorder="1" applyAlignment="1">
      <alignment horizontal="left" vertical="center" wrapText="1"/>
    </xf>
    <xf numFmtId="164" fontId="6" fillId="0" borderId="55" xfId="0" applyNumberFormat="1" applyFont="1" applyBorder="1" applyAlignment="1">
      <alignment horizontal="left" vertical="center" wrapText="1"/>
    </xf>
    <xf numFmtId="164" fontId="6" fillId="0" borderId="63" xfId="0" applyNumberFormat="1" applyFont="1" applyBorder="1" applyAlignment="1">
      <alignment horizontal="left" wrapText="1"/>
    </xf>
    <xf numFmtId="164" fontId="6" fillId="0" borderId="65" xfId="0" applyNumberFormat="1" applyFont="1" applyBorder="1" applyAlignment="1">
      <alignment horizontal="left" wrapText="1"/>
    </xf>
    <xf numFmtId="0" fontId="5" fillId="0" borderId="71" xfId="0" applyFont="1" applyBorder="1" applyAlignment="1">
      <alignment horizontal="right"/>
    </xf>
    <xf numFmtId="0" fontId="5" fillId="0" borderId="73" xfId="0" applyFont="1" applyBorder="1" applyAlignment="1">
      <alignment horizontal="right"/>
    </xf>
    <xf numFmtId="0" fontId="5" fillId="0" borderId="72" xfId="0" applyFont="1" applyBorder="1" applyAlignment="1">
      <alignment horizontal="right"/>
    </xf>
    <xf numFmtId="164" fontId="5" fillId="0" borderId="0" xfId="0" applyNumberFormat="1" applyFont="1" applyAlignment="1">
      <alignment horizontal="left" vertical="center" wrapText="1"/>
    </xf>
    <xf numFmtId="0" fontId="0" fillId="0" borderId="0" xfId="0" applyAlignment="1">
      <alignment wrapText="1"/>
    </xf>
    <xf numFmtId="0" fontId="5" fillId="0" borderId="74" xfId="0" applyFont="1" applyBorder="1" applyAlignment="1">
      <alignment horizontal="right"/>
    </xf>
    <xf numFmtId="0" fontId="15" fillId="0" borderId="0" xfId="0" applyFont="1" applyAlignment="1">
      <alignment horizontal="center" vertical="center" textRotation="90" wrapText="1"/>
    </xf>
    <xf numFmtId="0" fontId="0" fillId="0" borderId="0" xfId="0" applyAlignment="1">
      <alignment horizontal="left" vertical="top" wrapText="1"/>
    </xf>
    <xf numFmtId="0" fontId="5" fillId="0" borderId="14" xfId="0" quotePrefix="1" applyFont="1" applyBorder="1" applyAlignment="1">
      <alignment horizontal="right" wrapText="1"/>
    </xf>
    <xf numFmtId="0" fontId="5" fillId="3" borderId="15" xfId="0" quotePrefix="1" applyFont="1" applyFill="1" applyBorder="1" applyAlignment="1">
      <alignment horizontal="right" wrapText="1"/>
    </xf>
    <xf numFmtId="0" fontId="5" fillId="0" borderId="0" xfId="0" applyFont="1" applyAlignment="1">
      <alignment horizontal="right"/>
    </xf>
    <xf numFmtId="0" fontId="5" fillId="0" borderId="4" xfId="0" quotePrefix="1" applyFont="1" applyBorder="1" applyAlignment="1">
      <alignment horizontal="center" vertical="center" wrapText="1"/>
    </xf>
    <xf numFmtId="0" fontId="5" fillId="0" borderId="6" xfId="0" applyFont="1" applyBorder="1" applyAlignment="1">
      <alignment horizontal="right" wrapText="1"/>
    </xf>
    <xf numFmtId="0" fontId="5" fillId="0" borderId="15" xfId="0" quotePrefix="1" applyFont="1" applyBorder="1" applyAlignment="1">
      <alignment horizontal="right" wrapText="1"/>
    </xf>
    <xf numFmtId="0" fontId="5" fillId="0" borderId="13" xfId="0" quotePrefix="1" applyFont="1" applyBorder="1" applyAlignment="1">
      <alignment horizontal="right" wrapText="1"/>
    </xf>
    <xf numFmtId="0" fontId="5" fillId="3" borderId="75" xfId="0" quotePrefix="1" applyFont="1" applyFill="1" applyBorder="1" applyAlignment="1">
      <alignment horizontal="right" vertical="top" wrapText="1"/>
    </xf>
    <xf numFmtId="167" fontId="4" fillId="0" borderId="0" xfId="0" applyNumberFormat="1" applyFont="1"/>
    <xf numFmtId="0" fontId="4" fillId="0" borderId="0" xfId="0" applyFont="1" applyAlignment="1">
      <alignment horizontal="right" vertical="top"/>
    </xf>
    <xf numFmtId="0" fontId="5" fillId="0" borderId="41" xfId="0" applyFont="1" applyBorder="1" applyAlignment="1">
      <alignment horizontal="center" vertical="center"/>
    </xf>
    <xf numFmtId="0" fontId="5" fillId="0" borderId="0" xfId="0" applyFont="1" applyAlignment="1">
      <alignment horizontal="right" vertical="center"/>
    </xf>
    <xf numFmtId="166" fontId="4" fillId="0" borderId="0" xfId="0" applyNumberFormat="1" applyFont="1" applyAlignment="1">
      <alignment horizontal="right" vertical="center"/>
    </xf>
    <xf numFmtId="165" fontId="6" fillId="0" borderId="0" xfId="0" applyNumberFormat="1" applyFont="1" applyAlignment="1">
      <alignment horizontal="right"/>
    </xf>
    <xf numFmtId="166" fontId="4" fillId="0" borderId="0" xfId="0" applyNumberFormat="1" applyFont="1" applyAlignment="1">
      <alignment horizontal="right"/>
    </xf>
    <xf numFmtId="166" fontId="6" fillId="0" borderId="0" xfId="0" applyNumberFormat="1" applyFont="1" applyAlignment="1">
      <alignment horizontal="right"/>
    </xf>
    <xf numFmtId="3" fontId="6" fillId="0" borderId="0" xfId="0" applyNumberFormat="1" applyFont="1" applyAlignment="1">
      <alignment horizontal="right"/>
    </xf>
    <xf numFmtId="164" fontId="5" fillId="0" borderId="52" xfId="0" applyNumberFormat="1" applyFont="1" applyBorder="1" applyAlignment="1">
      <alignment horizontal="center" vertical="top" wrapText="1"/>
    </xf>
    <xf numFmtId="0" fontId="11" fillId="0" borderId="66" xfId="1" applyFont="1" applyBorder="1" applyAlignment="1">
      <alignment horizontal="right" wrapText="1"/>
    </xf>
    <xf numFmtId="164" fontId="6" fillId="0" borderId="21" xfId="1" applyNumberFormat="1" applyFont="1" applyBorder="1" applyAlignment="1">
      <alignment horizontal="left" wrapText="1"/>
    </xf>
    <xf numFmtId="164" fontId="6" fillId="0" borderId="76" xfId="1" applyNumberFormat="1" applyFont="1" applyBorder="1" applyAlignment="1">
      <alignment horizontal="left" wrapText="1"/>
    </xf>
    <xf numFmtId="164" fontId="6" fillId="0" borderId="61" xfId="0" applyNumberFormat="1" applyFont="1" applyBorder="1" applyAlignment="1">
      <alignment horizontal="left" wrapText="1"/>
    </xf>
    <xf numFmtId="0" fontId="20" fillId="0" borderId="0" xfId="1" applyFont="1" applyAlignment="1">
      <alignment horizontal="right" wrapText="1"/>
    </xf>
    <xf numFmtId="164" fontId="21" fillId="0" borderId="0" xfId="0" applyNumberFormat="1" applyFont="1" applyAlignment="1">
      <alignment horizontal="right"/>
    </xf>
    <xf numFmtId="166" fontId="21" fillId="0" borderId="0" xfId="2" applyNumberFormat="1" applyFont="1" applyBorder="1" applyAlignment="1">
      <alignment horizontal="right"/>
    </xf>
    <xf numFmtId="164" fontId="21" fillId="0" borderId="0" xfId="1" applyNumberFormat="1" applyFont="1" applyAlignment="1">
      <alignment horizontal="left" wrapText="1"/>
    </xf>
    <xf numFmtId="0" fontId="21" fillId="0" borderId="0" xfId="1" applyFont="1"/>
    <xf numFmtId="164" fontId="6" fillId="0" borderId="55" xfId="0" applyNumberFormat="1" applyFont="1" applyBorder="1" applyAlignment="1">
      <alignment horizontal="right"/>
    </xf>
    <xf numFmtId="164" fontId="6" fillId="0" borderId="57" xfId="0" applyNumberFormat="1" applyFont="1" applyBorder="1" applyAlignment="1">
      <alignment horizontal="right"/>
    </xf>
    <xf numFmtId="164" fontId="6" fillId="0" borderId="69" xfId="0" applyNumberFormat="1" applyFont="1" applyBorder="1" applyAlignment="1">
      <alignment horizontal="right"/>
    </xf>
    <xf numFmtId="164" fontId="6" fillId="0" borderId="59" xfId="0" applyNumberFormat="1" applyFont="1" applyBorder="1" applyAlignment="1">
      <alignment horizontal="right"/>
    </xf>
    <xf numFmtId="0" fontId="5" fillId="0" borderId="23" xfId="0" applyFont="1" applyBorder="1" applyAlignment="1">
      <alignment horizontal="right" vertical="top" wrapText="1"/>
    </xf>
    <xf numFmtId="0" fontId="5" fillId="0" borderId="24" xfId="0" applyFont="1" applyBorder="1" applyAlignment="1">
      <alignment horizontal="right" vertical="top" wrapText="1"/>
    </xf>
    <xf numFmtId="0" fontId="4" fillId="0" borderId="0" xfId="0" applyFont="1" applyAlignment="1">
      <alignment vertical="top"/>
    </xf>
    <xf numFmtId="0" fontId="22" fillId="0" borderId="45" xfId="0" applyFont="1" applyBorder="1" applyAlignment="1">
      <alignment horizontal="left" wrapText="1"/>
    </xf>
    <xf numFmtId="0" fontId="5" fillId="0" borderId="29" xfId="0" applyFont="1" applyBorder="1" applyAlignment="1">
      <alignment horizontal="right" wrapText="1"/>
    </xf>
    <xf numFmtId="164" fontId="6" fillId="0" borderId="46" xfId="1" applyNumberFormat="1" applyFont="1" applyBorder="1" applyAlignment="1">
      <alignment horizontal="left" wrapText="1"/>
    </xf>
    <xf numFmtId="164" fontId="6" fillId="0" borderId="59" xfId="1" applyNumberFormat="1" applyFont="1" applyBorder="1" applyAlignment="1">
      <alignment horizontal="left" wrapText="1"/>
    </xf>
    <xf numFmtId="0" fontId="2" fillId="0" borderId="0" xfId="4" applyAlignment="1">
      <alignment vertical="center"/>
    </xf>
    <xf numFmtId="0" fontId="28" fillId="0" borderId="0" xfId="4" applyFont="1" applyAlignment="1">
      <alignment vertical="center"/>
    </xf>
    <xf numFmtId="0" fontId="2" fillId="0" borderId="0" xfId="4"/>
    <xf numFmtId="0" fontId="2" fillId="0" borderId="0" xfId="4" applyAlignment="1" applyProtection="1">
      <alignment horizontal="right"/>
      <protection locked="0"/>
    </xf>
    <xf numFmtId="0" fontId="2" fillId="0" borderId="0" xfId="4" applyAlignment="1">
      <alignment horizontal="right"/>
    </xf>
    <xf numFmtId="0" fontId="2" fillId="0" borderId="0" xfId="4" applyProtection="1">
      <protection locked="0"/>
    </xf>
    <xf numFmtId="168" fontId="32" fillId="0" borderId="25" xfId="4" applyNumberFormat="1" applyFont="1" applyBorder="1" applyAlignment="1" applyProtection="1">
      <alignment vertical="center"/>
      <protection locked="0"/>
    </xf>
    <xf numFmtId="168" fontId="31" fillId="0" borderId="62" xfId="4" applyNumberFormat="1" applyFont="1" applyBorder="1" applyAlignment="1">
      <alignment vertical="center"/>
    </xf>
    <xf numFmtId="168" fontId="30" fillId="0" borderId="62" xfId="4" quotePrefix="1" applyNumberFormat="1" applyFont="1" applyBorder="1" applyAlignment="1">
      <alignment vertical="center"/>
    </xf>
    <xf numFmtId="168" fontId="31" fillId="0" borderId="62" xfId="4" quotePrefix="1" applyNumberFormat="1" applyFont="1" applyBorder="1" applyAlignment="1">
      <alignment vertical="center"/>
    </xf>
    <xf numFmtId="168" fontId="31" fillId="0" borderId="64" xfId="4" quotePrefix="1" applyNumberFormat="1" applyFont="1" applyBorder="1" applyAlignment="1">
      <alignment vertical="center"/>
    </xf>
    <xf numFmtId="168" fontId="30" fillId="0" borderId="62" xfId="4" quotePrefix="1" applyNumberFormat="1" applyFont="1" applyBorder="1" applyAlignment="1">
      <alignment vertical="center" wrapText="1"/>
    </xf>
    <xf numFmtId="168" fontId="33" fillId="0" borderId="62" xfId="4" quotePrefix="1" applyNumberFormat="1" applyFont="1" applyBorder="1" applyAlignment="1">
      <alignment vertical="center" wrapText="1"/>
    </xf>
    <xf numFmtId="168" fontId="31" fillId="0" borderId="62" xfId="4" quotePrefix="1" applyNumberFormat="1" applyFont="1" applyBorder="1" applyAlignment="1">
      <alignment vertical="center" wrapText="1"/>
    </xf>
    <xf numFmtId="168" fontId="30" fillId="0" borderId="67" xfId="4" applyNumberFormat="1" applyFont="1" applyBorder="1" applyAlignment="1" applyProtection="1">
      <alignment vertical="center" wrapText="1"/>
      <protection locked="0"/>
    </xf>
    <xf numFmtId="169" fontId="4" fillId="0" borderId="0" xfId="0" applyNumberFormat="1" applyFont="1"/>
    <xf numFmtId="170" fontId="4" fillId="0" borderId="0" xfId="0" applyNumberFormat="1" applyFont="1" applyAlignment="1">
      <alignment horizontal="right"/>
    </xf>
    <xf numFmtId="167" fontId="2" fillId="0" borderId="0" xfId="4" applyNumberFormat="1" applyProtection="1">
      <protection locked="0"/>
    </xf>
    <xf numFmtId="0" fontId="5" fillId="0" borderId="5" xfId="0" applyFont="1" applyBorder="1" applyAlignment="1">
      <alignment horizontal="right" indent="1"/>
    </xf>
    <xf numFmtId="164" fontId="4" fillId="0" borderId="7" xfId="0" applyNumberFormat="1" applyFont="1" applyBorder="1" applyAlignment="1">
      <alignment horizontal="right" indent="1"/>
    </xf>
    <xf numFmtId="164" fontId="4" fillId="0" borderId="8" xfId="0" applyNumberFormat="1" applyFont="1" applyBorder="1" applyAlignment="1">
      <alignment horizontal="right" indent="1"/>
    </xf>
    <xf numFmtId="166" fontId="4" fillId="3" borderId="9" xfId="0" applyNumberFormat="1" applyFont="1" applyFill="1" applyBorder="1" applyAlignment="1">
      <alignment horizontal="right" indent="1"/>
    </xf>
    <xf numFmtId="0" fontId="4" fillId="0" borderId="7" xfId="0" applyFont="1" applyBorder="1" applyAlignment="1">
      <alignment horizontal="right" indent="1"/>
    </xf>
    <xf numFmtId="0" fontId="4" fillId="0" borderId="17" xfId="0" applyFont="1" applyBorder="1" applyAlignment="1">
      <alignment horizontal="right" indent="1"/>
    </xf>
    <xf numFmtId="3" fontId="6" fillId="0" borderId="8" xfId="0" applyNumberFormat="1" applyFont="1" applyBorder="1" applyAlignment="1">
      <alignment horizontal="right" indent="1"/>
    </xf>
    <xf numFmtId="3" fontId="4" fillId="3" borderId="9" xfId="0" applyNumberFormat="1" applyFont="1" applyFill="1" applyBorder="1" applyAlignment="1">
      <alignment horizontal="right" indent="1"/>
    </xf>
    <xf numFmtId="164" fontId="6" fillId="0" borderId="8" xfId="0" applyNumberFormat="1" applyFont="1" applyBorder="1" applyAlignment="1">
      <alignment horizontal="right" indent="1"/>
    </xf>
    <xf numFmtId="166" fontId="6" fillId="3" borderId="9" xfId="0" applyNumberFormat="1" applyFont="1" applyFill="1" applyBorder="1" applyAlignment="1">
      <alignment horizontal="right" indent="1"/>
    </xf>
    <xf numFmtId="0" fontId="5" fillId="0" borderId="71" xfId="0" applyFont="1" applyBorder="1" applyAlignment="1">
      <alignment horizontal="right" indent="1"/>
    </xf>
    <xf numFmtId="164" fontId="4" fillId="0" borderId="56" xfId="0" applyNumberFormat="1" applyFont="1" applyBorder="1" applyAlignment="1">
      <alignment horizontal="right" indent="1"/>
    </xf>
    <xf numFmtId="164" fontId="4" fillId="0" borderId="32" xfId="0" applyNumberFormat="1" applyFont="1" applyBorder="1" applyAlignment="1">
      <alignment horizontal="right" indent="1"/>
    </xf>
    <xf numFmtId="166" fontId="4" fillId="3" borderId="57" xfId="0" applyNumberFormat="1" applyFont="1" applyFill="1" applyBorder="1" applyAlignment="1">
      <alignment horizontal="right" indent="1"/>
    </xf>
    <xf numFmtId="165" fontId="4" fillId="0" borderId="56" xfId="0" applyNumberFormat="1" applyFont="1" applyBorder="1" applyAlignment="1">
      <alignment horizontal="right" indent="1"/>
    </xf>
    <xf numFmtId="0" fontId="4" fillId="0" borderId="34" xfId="0" applyFont="1" applyBorder="1" applyAlignment="1">
      <alignment horizontal="right" indent="1"/>
    </xf>
    <xf numFmtId="3" fontId="6" fillId="0" borderId="32" xfId="0" applyNumberFormat="1" applyFont="1" applyBorder="1" applyAlignment="1">
      <alignment horizontal="right" indent="1"/>
    </xf>
    <xf numFmtId="3" fontId="4" fillId="3" borderId="57" xfId="0" applyNumberFormat="1" applyFont="1" applyFill="1" applyBorder="1" applyAlignment="1">
      <alignment horizontal="right" indent="1"/>
    </xf>
    <xf numFmtId="164" fontId="6" fillId="0" borderId="32" xfId="0" applyNumberFormat="1" applyFont="1" applyBorder="1" applyAlignment="1">
      <alignment horizontal="right" indent="1"/>
    </xf>
    <xf numFmtId="166" fontId="6" fillId="3" borderId="57" xfId="0" applyNumberFormat="1" applyFont="1" applyFill="1" applyBorder="1" applyAlignment="1">
      <alignment horizontal="right" indent="1"/>
    </xf>
    <xf numFmtId="164" fontId="6" fillId="0" borderId="56" xfId="0" applyNumberFormat="1" applyFont="1" applyBorder="1" applyAlignment="1">
      <alignment horizontal="right" indent="1"/>
    </xf>
    <xf numFmtId="0" fontId="5" fillId="0" borderId="73" xfId="0" applyFont="1" applyBorder="1" applyAlignment="1">
      <alignment horizontal="right" indent="1"/>
    </xf>
    <xf numFmtId="164" fontId="4" fillId="0" borderId="70" xfId="0" applyNumberFormat="1" applyFont="1" applyBorder="1" applyAlignment="1">
      <alignment horizontal="right" indent="1"/>
    </xf>
    <xf numFmtId="164" fontId="4" fillId="0" borderId="35" xfId="0" applyNumberFormat="1" applyFont="1" applyBorder="1" applyAlignment="1">
      <alignment horizontal="right" indent="1"/>
    </xf>
    <xf numFmtId="166" fontId="4" fillId="3" borderId="69" xfId="0" applyNumberFormat="1" applyFont="1" applyFill="1" applyBorder="1" applyAlignment="1">
      <alignment horizontal="right" indent="1"/>
    </xf>
    <xf numFmtId="165" fontId="4" fillId="0" borderId="70" xfId="0" applyNumberFormat="1" applyFont="1" applyBorder="1" applyAlignment="1">
      <alignment horizontal="right" indent="1"/>
    </xf>
    <xf numFmtId="0" fontId="4" fillId="0" borderId="40" xfId="0" applyFont="1" applyBorder="1" applyAlignment="1">
      <alignment horizontal="right" indent="1"/>
    </xf>
    <xf numFmtId="3" fontId="6" fillId="0" borderId="35" xfId="0" applyNumberFormat="1" applyFont="1" applyBorder="1" applyAlignment="1">
      <alignment horizontal="right" indent="1"/>
    </xf>
    <xf numFmtId="3" fontId="4" fillId="3" borderId="69" xfId="0" applyNumberFormat="1" applyFont="1" applyFill="1" applyBorder="1" applyAlignment="1">
      <alignment horizontal="right" indent="1"/>
    </xf>
    <xf numFmtId="166" fontId="6" fillId="3" borderId="69" xfId="0" applyNumberFormat="1" applyFont="1" applyFill="1" applyBorder="1" applyAlignment="1">
      <alignment horizontal="right" indent="1"/>
    </xf>
    <xf numFmtId="0" fontId="5" fillId="0" borderId="72" xfId="0" applyFont="1" applyBorder="1" applyAlignment="1">
      <alignment horizontal="right" indent="1"/>
    </xf>
    <xf numFmtId="164" fontId="4" fillId="0" borderId="54" xfId="0" applyNumberFormat="1" applyFont="1" applyBorder="1" applyAlignment="1">
      <alignment horizontal="right" indent="1"/>
    </xf>
    <xf numFmtId="164" fontId="4" fillId="0" borderId="41" xfId="0" applyNumberFormat="1" applyFont="1" applyBorder="1" applyAlignment="1">
      <alignment horizontal="right" indent="1"/>
    </xf>
    <xf numFmtId="166" fontId="4" fillId="3" borderId="55" xfId="0" applyNumberFormat="1" applyFont="1" applyFill="1" applyBorder="1" applyAlignment="1">
      <alignment horizontal="right" indent="1"/>
    </xf>
    <xf numFmtId="165" fontId="4" fillId="0" borderId="54" xfId="0" applyNumberFormat="1" applyFont="1" applyBorder="1" applyAlignment="1">
      <alignment horizontal="right" indent="1"/>
    </xf>
    <xf numFmtId="0" fontId="4" fillId="0" borderId="44" xfId="0" applyFont="1" applyBorder="1" applyAlignment="1">
      <alignment horizontal="right" indent="1"/>
    </xf>
    <xf numFmtId="3" fontId="6" fillId="0" borderId="41" xfId="0" applyNumberFormat="1" applyFont="1" applyBorder="1" applyAlignment="1">
      <alignment horizontal="right" indent="1"/>
    </xf>
    <xf numFmtId="3" fontId="4" fillId="3" borderId="55" xfId="0" applyNumberFormat="1" applyFont="1" applyFill="1" applyBorder="1" applyAlignment="1">
      <alignment horizontal="right" indent="1"/>
    </xf>
    <xf numFmtId="166" fontId="6" fillId="3" borderId="55" xfId="0" applyNumberFormat="1" applyFont="1" applyFill="1" applyBorder="1" applyAlignment="1">
      <alignment horizontal="right" indent="1"/>
    </xf>
    <xf numFmtId="165" fontId="4" fillId="0" borderId="34" xfId="0" applyNumberFormat="1" applyFont="1" applyBorder="1" applyAlignment="1">
      <alignment horizontal="right" indent="1"/>
    </xf>
    <xf numFmtId="0" fontId="5" fillId="0" borderId="74" xfId="0" applyFont="1" applyBorder="1" applyAlignment="1">
      <alignment horizontal="right" indent="1"/>
    </xf>
    <xf numFmtId="164" fontId="4" fillId="0" borderId="58" xfId="0" applyNumberFormat="1" applyFont="1" applyBorder="1" applyAlignment="1">
      <alignment horizontal="right" indent="1"/>
    </xf>
    <xf numFmtId="164" fontId="4" fillId="0" borderId="46" xfId="0" applyNumberFormat="1" applyFont="1" applyBorder="1" applyAlignment="1">
      <alignment horizontal="right" indent="1"/>
    </xf>
    <xf numFmtId="166" fontId="4" fillId="3" borderId="59" xfId="0" applyNumberFormat="1" applyFont="1" applyFill="1" applyBorder="1" applyAlignment="1">
      <alignment horizontal="right" indent="1"/>
    </xf>
    <xf numFmtId="165" fontId="4" fillId="0" borderId="58" xfId="0" applyNumberFormat="1" applyFont="1" applyBorder="1" applyAlignment="1">
      <alignment horizontal="right" indent="1"/>
    </xf>
    <xf numFmtId="165" fontId="4" fillId="0" borderId="49" xfId="0" applyNumberFormat="1" applyFont="1" applyBorder="1" applyAlignment="1">
      <alignment horizontal="right" indent="1"/>
    </xf>
    <xf numFmtId="3" fontId="6" fillId="0" borderId="46" xfId="0" applyNumberFormat="1" applyFont="1" applyBorder="1" applyAlignment="1">
      <alignment horizontal="right" indent="1"/>
    </xf>
    <xf numFmtId="3" fontId="4" fillId="3" borderId="59" xfId="0" applyNumberFormat="1" applyFont="1" applyFill="1" applyBorder="1" applyAlignment="1">
      <alignment horizontal="right" indent="1"/>
    </xf>
    <xf numFmtId="165" fontId="6" fillId="0" borderId="54" xfId="0" applyNumberFormat="1" applyFont="1" applyBorder="1" applyAlignment="1">
      <alignment horizontal="right" indent="1"/>
    </xf>
    <xf numFmtId="165" fontId="6" fillId="0" borderId="44" xfId="0" applyNumberFormat="1" applyFont="1" applyBorder="1" applyAlignment="1">
      <alignment horizontal="right" indent="1"/>
    </xf>
    <xf numFmtId="164" fontId="6" fillId="0" borderId="41" xfId="0" applyNumberFormat="1" applyFont="1" applyBorder="1" applyAlignment="1">
      <alignment horizontal="right" indent="1"/>
    </xf>
    <xf numFmtId="164" fontId="6" fillId="0" borderId="54" xfId="0" applyNumberFormat="1" applyFont="1" applyBorder="1" applyAlignment="1">
      <alignment horizontal="right" indent="1"/>
    </xf>
    <xf numFmtId="3" fontId="6" fillId="3" borderId="55" xfId="0" applyNumberFormat="1" applyFont="1" applyFill="1" applyBorder="1" applyAlignment="1">
      <alignment horizontal="right" indent="1"/>
    </xf>
    <xf numFmtId="0" fontId="5" fillId="0" borderId="6" xfId="0" applyFont="1" applyBorder="1" applyAlignment="1">
      <alignment horizontal="right" wrapText="1" indent="1"/>
    </xf>
    <xf numFmtId="164" fontId="4" fillId="3" borderId="9" xfId="0" applyNumberFormat="1" applyFont="1" applyFill="1" applyBorder="1" applyAlignment="1">
      <alignment horizontal="right" indent="1"/>
    </xf>
    <xf numFmtId="164" fontId="4" fillId="3" borderId="57" xfId="0" applyNumberFormat="1" applyFont="1" applyFill="1" applyBorder="1" applyAlignment="1">
      <alignment horizontal="right" indent="1"/>
    </xf>
    <xf numFmtId="164" fontId="4" fillId="3" borderId="69" xfId="0" applyNumberFormat="1" applyFont="1" applyFill="1" applyBorder="1" applyAlignment="1">
      <alignment horizontal="right" indent="1"/>
    </xf>
    <xf numFmtId="164" fontId="4" fillId="3" borderId="55" xfId="0" applyNumberFormat="1" applyFont="1" applyFill="1" applyBorder="1" applyAlignment="1">
      <alignment horizontal="right" indent="1"/>
    </xf>
    <xf numFmtId="164" fontId="4" fillId="3" borderId="59" xfId="0" applyNumberFormat="1" applyFont="1" applyFill="1" applyBorder="1" applyAlignment="1">
      <alignment horizontal="right" indent="1"/>
    </xf>
    <xf numFmtId="164" fontId="4" fillId="0" borderId="9" xfId="0" applyNumberFormat="1" applyFont="1" applyBorder="1" applyAlignment="1">
      <alignment horizontal="right" indent="1"/>
    </xf>
    <xf numFmtId="164" fontId="4" fillId="0" borderId="57" xfId="0" applyNumberFormat="1" applyFont="1" applyBorder="1" applyAlignment="1">
      <alignment horizontal="right" indent="1"/>
    </xf>
    <xf numFmtId="164" fontId="4" fillId="0" borderId="69" xfId="0" applyNumberFormat="1" applyFont="1" applyBorder="1" applyAlignment="1">
      <alignment horizontal="right" indent="1"/>
    </xf>
    <xf numFmtId="164" fontId="4" fillId="0" borderId="55" xfId="0" applyNumberFormat="1" applyFont="1" applyBorder="1" applyAlignment="1">
      <alignment horizontal="right" indent="1"/>
    </xf>
    <xf numFmtId="164" fontId="4" fillId="0" borderId="59" xfId="0" applyNumberFormat="1" applyFont="1" applyBorder="1" applyAlignment="1">
      <alignment horizontal="right" indent="1"/>
    </xf>
    <xf numFmtId="0" fontId="5" fillId="0" borderId="54" xfId="0" applyFont="1" applyBorder="1" applyAlignment="1">
      <alignment horizontal="right" vertical="center" indent="1"/>
    </xf>
    <xf numFmtId="0" fontId="5" fillId="0" borderId="56" xfId="0" applyFont="1" applyBorder="1" applyAlignment="1">
      <alignment horizontal="right" vertical="center" indent="1"/>
    </xf>
    <xf numFmtId="0" fontId="5" fillId="0" borderId="58" xfId="0" applyFont="1" applyBorder="1" applyAlignment="1">
      <alignment horizontal="right" vertical="center" indent="1"/>
    </xf>
    <xf numFmtId="0" fontId="5" fillId="0" borderId="50" xfId="0" applyFont="1" applyBorder="1" applyAlignment="1">
      <alignment horizontal="right" vertical="center" indent="1"/>
    </xf>
    <xf numFmtId="164" fontId="4" fillId="0" borderId="42" xfId="0" applyNumberFormat="1" applyFont="1" applyBorder="1" applyAlignment="1">
      <alignment horizontal="right" vertical="center" indent="1"/>
    </xf>
    <xf numFmtId="164" fontId="4" fillId="0" borderId="43" xfId="0" applyNumberFormat="1" applyFont="1" applyBorder="1" applyAlignment="1">
      <alignment horizontal="right" vertical="center" indent="1"/>
    </xf>
    <xf numFmtId="164" fontId="4" fillId="0" borderId="44" xfId="0" applyNumberFormat="1" applyFont="1" applyBorder="1" applyAlignment="1">
      <alignment horizontal="right" vertical="center" indent="1"/>
    </xf>
    <xf numFmtId="166" fontId="4" fillId="0" borderId="44" xfId="0" applyNumberFormat="1" applyFont="1" applyBorder="1" applyAlignment="1">
      <alignment horizontal="right" vertical="center" indent="1"/>
    </xf>
    <xf numFmtId="164" fontId="6" fillId="0" borderId="36" xfId="1" applyNumberFormat="1" applyFont="1" applyBorder="1" applyAlignment="1">
      <alignment horizontal="right" indent="1"/>
    </xf>
    <xf numFmtId="164" fontId="4" fillId="0" borderId="55" xfId="0" applyNumberFormat="1" applyFont="1" applyBorder="1" applyAlignment="1">
      <alignment horizontal="right" vertical="center" indent="1"/>
    </xf>
    <xf numFmtId="164" fontId="4" fillId="0" borderId="33" xfId="0" applyNumberFormat="1" applyFont="1" applyBorder="1" applyAlignment="1">
      <alignment horizontal="right" vertical="center" indent="1"/>
    </xf>
    <xf numFmtId="164" fontId="4" fillId="0" borderId="18" xfId="0" applyNumberFormat="1" applyFont="1" applyBorder="1" applyAlignment="1">
      <alignment horizontal="right" vertical="center" indent="1"/>
    </xf>
    <xf numFmtId="164" fontId="4" fillId="0" borderId="34" xfId="0" applyNumberFormat="1" applyFont="1" applyBorder="1" applyAlignment="1">
      <alignment horizontal="right" vertical="center" indent="1"/>
    </xf>
    <xf numFmtId="166" fontId="4" fillId="0" borderId="34" xfId="0" applyNumberFormat="1" applyFont="1" applyBorder="1" applyAlignment="1">
      <alignment horizontal="right" vertical="center" indent="1"/>
    </xf>
    <xf numFmtId="164" fontId="6" fillId="0" borderId="32" xfId="1" applyNumberFormat="1" applyFont="1" applyBorder="1" applyAlignment="1">
      <alignment horizontal="right" indent="1"/>
    </xf>
    <xf numFmtId="164" fontId="4" fillId="0" borderId="57" xfId="0" applyNumberFormat="1" applyFont="1" applyBorder="1" applyAlignment="1">
      <alignment horizontal="right" vertical="center" indent="1"/>
    </xf>
    <xf numFmtId="164" fontId="4" fillId="0" borderId="47" xfId="0" applyNumberFormat="1" applyFont="1" applyBorder="1" applyAlignment="1">
      <alignment horizontal="right" vertical="center" indent="1"/>
    </xf>
    <xf numFmtId="164" fontId="4" fillId="0" borderId="48" xfId="0" applyNumberFormat="1" applyFont="1" applyBorder="1" applyAlignment="1">
      <alignment horizontal="right" vertical="center" indent="1"/>
    </xf>
    <xf numFmtId="164" fontId="4" fillId="0" borderId="49" xfId="0" applyNumberFormat="1" applyFont="1" applyBorder="1" applyAlignment="1">
      <alignment horizontal="right" vertical="center" indent="1"/>
    </xf>
    <xf numFmtId="166" fontId="4" fillId="0" borderId="49" xfId="0" applyNumberFormat="1" applyFont="1" applyBorder="1" applyAlignment="1">
      <alignment horizontal="right" vertical="center" indent="1"/>
    </xf>
    <xf numFmtId="164" fontId="6" fillId="0" borderId="35" xfId="1" applyNumberFormat="1" applyFont="1" applyBorder="1" applyAlignment="1">
      <alignment horizontal="right" indent="1"/>
    </xf>
    <xf numFmtId="164" fontId="4" fillId="0" borderId="59" xfId="0" applyNumberFormat="1" applyFont="1" applyBorder="1" applyAlignment="1">
      <alignment horizontal="right" vertical="center" indent="1"/>
    </xf>
    <xf numFmtId="164" fontId="6" fillId="0" borderId="41" xfId="1" applyNumberFormat="1" applyFont="1" applyBorder="1" applyAlignment="1">
      <alignment horizontal="right" indent="1"/>
    </xf>
    <xf numFmtId="164" fontId="6" fillId="0" borderId="46" xfId="1" applyNumberFormat="1" applyFont="1" applyBorder="1" applyAlignment="1">
      <alignment horizontal="right" indent="1"/>
    </xf>
    <xf numFmtId="164" fontId="6" fillId="0" borderId="8" xfId="1" applyNumberFormat="1" applyFont="1" applyBorder="1" applyAlignment="1">
      <alignment horizontal="right" indent="1"/>
    </xf>
    <xf numFmtId="166" fontId="4" fillId="2" borderId="49" xfId="0" applyNumberFormat="1" applyFont="1" applyFill="1" applyBorder="1" applyAlignment="1">
      <alignment horizontal="right" vertical="center" indent="1"/>
    </xf>
    <xf numFmtId="164" fontId="4" fillId="2" borderId="44" xfId="0" applyNumberFormat="1" applyFont="1" applyFill="1" applyBorder="1" applyAlignment="1">
      <alignment horizontal="right" vertical="center" indent="1"/>
    </xf>
    <xf numFmtId="166" fontId="4" fillId="2" borderId="44" xfId="0" applyNumberFormat="1" applyFont="1" applyFill="1" applyBorder="1" applyAlignment="1">
      <alignment horizontal="right" vertical="center" indent="1"/>
    </xf>
    <xf numFmtId="164" fontId="4" fillId="0" borderId="37" xfId="0" applyNumberFormat="1" applyFont="1" applyBorder="1" applyAlignment="1">
      <alignment horizontal="right" vertical="center" indent="1"/>
    </xf>
    <xf numFmtId="164" fontId="4" fillId="0" borderId="20" xfId="0" applyNumberFormat="1" applyFont="1" applyBorder="1" applyAlignment="1">
      <alignment horizontal="right" vertical="center" indent="1"/>
    </xf>
    <xf numFmtId="164" fontId="4" fillId="0" borderId="38" xfId="0" applyNumberFormat="1" applyFont="1" applyBorder="1" applyAlignment="1">
      <alignment horizontal="right" vertical="center" indent="1"/>
    </xf>
    <xf numFmtId="166" fontId="4" fillId="2" borderId="38" xfId="0" applyNumberFormat="1" applyFont="1" applyFill="1" applyBorder="1" applyAlignment="1">
      <alignment horizontal="right" vertical="center" indent="1"/>
    </xf>
    <xf numFmtId="164" fontId="4" fillId="0" borderId="51" xfId="0" applyNumberFormat="1" applyFont="1" applyBorder="1" applyAlignment="1">
      <alignment horizontal="right" vertical="center" indent="1"/>
    </xf>
    <xf numFmtId="166" fontId="4" fillId="2" borderId="34" xfId="0" applyNumberFormat="1" applyFont="1" applyFill="1" applyBorder="1" applyAlignment="1">
      <alignment horizontal="right" vertical="center" indent="1"/>
    </xf>
    <xf numFmtId="164" fontId="6" fillId="3" borderId="47" xfId="0" applyNumberFormat="1" applyFont="1" applyFill="1" applyBorder="1" applyAlignment="1">
      <alignment horizontal="right" vertical="center" indent="1"/>
    </xf>
    <xf numFmtId="164" fontId="6" fillId="3" borderId="48" xfId="0" applyNumberFormat="1" applyFont="1" applyFill="1" applyBorder="1" applyAlignment="1">
      <alignment horizontal="right" vertical="center" indent="1"/>
    </xf>
    <xf numFmtId="0" fontId="5" fillId="0" borderId="60" xfId="0" applyFont="1" applyBorder="1" applyAlignment="1">
      <alignment horizontal="right" vertical="center" indent="1"/>
    </xf>
    <xf numFmtId="0" fontId="5" fillId="0" borderId="62" xfId="0" applyFont="1" applyBorder="1" applyAlignment="1">
      <alignment horizontal="right" vertical="center" indent="1"/>
    </xf>
    <xf numFmtId="0" fontId="5" fillId="0" borderId="64" xfId="0" applyFont="1" applyBorder="1" applyAlignment="1">
      <alignment horizontal="right" vertical="center" indent="1"/>
    </xf>
    <xf numFmtId="0" fontId="5" fillId="0" borderId="67" xfId="0" applyFont="1" applyBorder="1" applyAlignment="1">
      <alignment horizontal="right" vertical="center" indent="1"/>
    </xf>
    <xf numFmtId="164" fontId="4" fillId="0" borderId="61" xfId="0" applyNumberFormat="1" applyFont="1" applyBorder="1" applyAlignment="1">
      <alignment horizontal="right" vertical="center" indent="1"/>
    </xf>
    <xf numFmtId="0" fontId="4" fillId="0" borderId="18" xfId="0" applyFont="1" applyBorder="1" applyAlignment="1">
      <alignment horizontal="right" vertical="center" indent="1"/>
    </xf>
    <xf numFmtId="164" fontId="4" fillId="0" borderId="63" xfId="0" applyNumberFormat="1" applyFont="1" applyBorder="1" applyAlignment="1">
      <alignment horizontal="right" vertical="center" indent="1"/>
    </xf>
    <xf numFmtId="164" fontId="4" fillId="0" borderId="65" xfId="0" applyNumberFormat="1" applyFont="1" applyBorder="1" applyAlignment="1">
      <alignment horizontal="right" vertical="center" indent="1"/>
    </xf>
    <xf numFmtId="164" fontId="6" fillId="0" borderId="18" xfId="0" applyNumberFormat="1" applyFont="1" applyBorder="1" applyAlignment="1">
      <alignment horizontal="right" indent="1"/>
    </xf>
    <xf numFmtId="0" fontId="4" fillId="0" borderId="43" xfId="0" applyFont="1" applyBorder="1" applyAlignment="1">
      <alignment horizontal="right" vertical="center" indent="1"/>
    </xf>
    <xf numFmtId="165" fontId="4" fillId="0" borderId="43" xfId="0" applyNumberFormat="1" applyFont="1" applyBorder="1" applyAlignment="1">
      <alignment horizontal="right" vertical="center" indent="1"/>
    </xf>
    <xf numFmtId="0" fontId="4" fillId="0" borderId="61" xfId="0" applyFont="1" applyBorder="1" applyAlignment="1">
      <alignment horizontal="right" vertical="center" indent="1"/>
    </xf>
    <xf numFmtId="165" fontId="4" fillId="0" borderId="18" xfId="0" applyNumberFormat="1" applyFont="1" applyBorder="1" applyAlignment="1">
      <alignment horizontal="right" vertical="center" indent="1"/>
    </xf>
    <xf numFmtId="165" fontId="4" fillId="0" borderId="63" xfId="0" applyNumberFormat="1" applyFont="1" applyBorder="1" applyAlignment="1">
      <alignment horizontal="right" vertical="center" indent="1"/>
    </xf>
    <xf numFmtId="0" fontId="4" fillId="0" borderId="48" xfId="0" applyFont="1" applyBorder="1" applyAlignment="1">
      <alignment horizontal="right" vertical="center" indent="1"/>
    </xf>
    <xf numFmtId="165" fontId="4" fillId="0" borderId="48" xfId="0" applyNumberFormat="1" applyFont="1" applyBorder="1" applyAlignment="1">
      <alignment horizontal="right" vertical="center" indent="1"/>
    </xf>
    <xf numFmtId="164" fontId="4" fillId="0" borderId="68" xfId="0" applyNumberFormat="1" applyFont="1" applyBorder="1" applyAlignment="1">
      <alignment horizontal="right" vertical="center" indent="1"/>
    </xf>
    <xf numFmtId="0" fontId="7" fillId="0" borderId="31" xfId="0" applyFont="1" applyBorder="1" applyAlignment="1">
      <alignment horizontal="right" vertical="center" indent="1"/>
    </xf>
    <xf numFmtId="0" fontId="7" fillId="3" borderId="64" xfId="0" applyFont="1" applyFill="1" applyBorder="1" applyAlignment="1">
      <alignment horizontal="right" vertical="center" indent="1"/>
    </xf>
    <xf numFmtId="0" fontId="5" fillId="0" borderId="27" xfId="0" applyFont="1" applyBorder="1" applyAlignment="1">
      <alignment horizontal="right" vertical="top" wrapText="1" indent="1"/>
    </xf>
    <xf numFmtId="0" fontId="5" fillId="0" borderId="22" xfId="0" applyFont="1" applyBorder="1" applyAlignment="1">
      <alignment horizontal="right" vertical="top" wrapText="1" indent="1"/>
    </xf>
    <xf numFmtId="0" fontId="5" fillId="0" borderId="7" xfId="0" applyFont="1" applyBorder="1" applyAlignment="1">
      <alignment horizontal="left" vertical="top" indent="1"/>
    </xf>
    <xf numFmtId="164" fontId="4" fillId="4" borderId="41" xfId="0" applyNumberFormat="1" applyFont="1" applyFill="1" applyBorder="1" applyAlignment="1">
      <alignment horizontal="right" vertical="center" indent="1"/>
    </xf>
    <xf numFmtId="166" fontId="4" fillId="0" borderId="44" xfId="2" applyNumberFormat="1" applyFont="1" applyBorder="1" applyAlignment="1">
      <alignment horizontal="right" vertical="center" indent="1"/>
    </xf>
    <xf numFmtId="164" fontId="4" fillId="4" borderId="32" xfId="0" applyNumberFormat="1" applyFont="1" applyFill="1" applyBorder="1" applyAlignment="1">
      <alignment horizontal="right" vertical="center" indent="1"/>
    </xf>
    <xf numFmtId="166" fontId="4" fillId="0" borderId="34" xfId="2" applyNumberFormat="1" applyFont="1" applyBorder="1" applyAlignment="1">
      <alignment horizontal="right" vertical="center" indent="1"/>
    </xf>
    <xf numFmtId="164" fontId="4" fillId="4" borderId="46" xfId="0" applyNumberFormat="1" applyFont="1" applyFill="1" applyBorder="1" applyAlignment="1">
      <alignment horizontal="right" vertical="center" indent="1"/>
    </xf>
    <xf numFmtId="166" fontId="4" fillId="0" borderId="49" xfId="2" applyNumberFormat="1" applyFont="1" applyBorder="1" applyAlignment="1">
      <alignment horizontal="right" vertical="center" indent="1"/>
    </xf>
    <xf numFmtId="164" fontId="4" fillId="6" borderId="32" xfId="0" applyNumberFormat="1" applyFont="1" applyFill="1" applyBorder="1" applyAlignment="1">
      <alignment horizontal="right" vertical="center" indent="1"/>
    </xf>
    <xf numFmtId="166" fontId="4" fillId="0" borderId="34" xfId="2" applyNumberFormat="1" applyFont="1" applyFill="1" applyBorder="1" applyAlignment="1">
      <alignment horizontal="right" vertical="center" indent="1"/>
    </xf>
    <xf numFmtId="164" fontId="4" fillId="4" borderId="36" xfId="0" applyNumberFormat="1" applyFont="1" applyFill="1" applyBorder="1" applyAlignment="1">
      <alignment horizontal="right" vertical="center" indent="1"/>
    </xf>
    <xf numFmtId="166" fontId="4" fillId="0" borderId="38" xfId="2" applyNumberFormat="1" applyFont="1" applyFill="1" applyBorder="1" applyAlignment="1">
      <alignment horizontal="right" vertical="center" indent="1"/>
    </xf>
    <xf numFmtId="166" fontId="4" fillId="0" borderId="49" xfId="2" applyNumberFormat="1" applyFont="1" applyFill="1" applyBorder="1" applyAlignment="1">
      <alignment horizontal="right" vertical="center" indent="1"/>
    </xf>
    <xf numFmtId="0" fontId="7" fillId="0" borderId="62" xfId="1" applyFont="1" applyBorder="1" applyAlignment="1">
      <alignment horizontal="right" indent="1"/>
    </xf>
    <xf numFmtId="164" fontId="4" fillId="0" borderId="37" xfId="0" applyNumberFormat="1" applyFont="1" applyBorder="1" applyAlignment="1">
      <alignment horizontal="right" indent="1"/>
    </xf>
    <xf numFmtId="164" fontId="6" fillId="0" borderId="38" xfId="1" applyNumberFormat="1" applyFont="1" applyBorder="1" applyAlignment="1">
      <alignment horizontal="right" indent="1"/>
    </xf>
    <xf numFmtId="164" fontId="6" fillId="4" borderId="37" xfId="1" applyNumberFormat="1" applyFont="1" applyFill="1" applyBorder="1" applyAlignment="1">
      <alignment horizontal="right" indent="1"/>
    </xf>
    <xf numFmtId="164" fontId="6" fillId="0" borderId="18" xfId="1" applyNumberFormat="1" applyFont="1" applyBorder="1" applyAlignment="1">
      <alignment horizontal="right" indent="1"/>
    </xf>
    <xf numFmtId="164" fontId="6" fillId="0" borderId="34" xfId="1" applyNumberFormat="1" applyFont="1" applyBorder="1" applyAlignment="1">
      <alignment horizontal="right" indent="1"/>
    </xf>
    <xf numFmtId="164" fontId="6" fillId="0" borderId="37" xfId="1" applyNumberFormat="1" applyFont="1" applyBorder="1" applyAlignment="1">
      <alignment horizontal="right" indent="1"/>
    </xf>
    <xf numFmtId="166" fontId="6" fillId="0" borderId="38" xfId="2" applyNumberFormat="1" applyFont="1" applyBorder="1" applyAlignment="1">
      <alignment horizontal="right" indent="1"/>
    </xf>
    <xf numFmtId="164" fontId="4" fillId="0" borderId="33" xfId="0" applyNumberFormat="1" applyFont="1" applyBorder="1" applyAlignment="1">
      <alignment horizontal="right" indent="1"/>
    </xf>
    <xf numFmtId="164" fontId="6" fillId="5" borderId="33" xfId="1" applyNumberFormat="1" applyFont="1" applyFill="1" applyBorder="1" applyAlignment="1">
      <alignment horizontal="right" indent="1"/>
    </xf>
    <xf numFmtId="164" fontId="6" fillId="0" borderId="33" xfId="1" applyNumberFormat="1" applyFont="1" applyBorder="1" applyAlignment="1">
      <alignment horizontal="right" indent="1"/>
    </xf>
    <xf numFmtId="166" fontId="6" fillId="0" borderId="34" xfId="2" applyNumberFormat="1" applyFont="1" applyBorder="1" applyAlignment="1">
      <alignment horizontal="right" indent="1"/>
    </xf>
    <xf numFmtId="164" fontId="6" fillId="4" borderId="33" xfId="1" applyNumberFormat="1" applyFont="1" applyFill="1" applyBorder="1" applyAlignment="1">
      <alignment horizontal="right" indent="1"/>
    </xf>
    <xf numFmtId="0" fontId="7" fillId="0" borderId="66" xfId="1" applyFont="1" applyBorder="1" applyAlignment="1">
      <alignment horizontal="right" indent="1"/>
    </xf>
    <xf numFmtId="164" fontId="4" fillId="0" borderId="39" xfId="0" applyNumberFormat="1" applyFont="1" applyBorder="1" applyAlignment="1">
      <alignment horizontal="right" indent="1"/>
    </xf>
    <xf numFmtId="164" fontId="6" fillId="0" borderId="21" xfId="1" applyNumberFormat="1" applyFont="1" applyBorder="1" applyAlignment="1">
      <alignment horizontal="right" indent="1"/>
    </xf>
    <xf numFmtId="164" fontId="6" fillId="0" borderId="40" xfId="1" applyNumberFormat="1" applyFont="1" applyBorder="1" applyAlignment="1">
      <alignment horizontal="right" indent="1"/>
    </xf>
    <xf numFmtId="164" fontId="6" fillId="4" borderId="39" xfId="1" applyNumberFormat="1" applyFont="1" applyFill="1" applyBorder="1" applyAlignment="1">
      <alignment horizontal="right" indent="1"/>
    </xf>
    <xf numFmtId="164" fontId="6" fillId="0" borderId="39" xfId="1" applyNumberFormat="1" applyFont="1" applyBorder="1" applyAlignment="1">
      <alignment horizontal="right" indent="1"/>
    </xf>
    <xf numFmtId="166" fontId="6" fillId="0" borderId="40" xfId="2" applyNumberFormat="1" applyFont="1" applyBorder="1" applyAlignment="1">
      <alignment horizontal="right" indent="1"/>
    </xf>
    <xf numFmtId="0" fontId="7" fillId="0" borderId="60" xfId="1" applyFont="1" applyBorder="1" applyAlignment="1">
      <alignment horizontal="right" indent="1"/>
    </xf>
    <xf numFmtId="164" fontId="4" fillId="0" borderId="42" xfId="0" applyNumberFormat="1" applyFont="1" applyBorder="1" applyAlignment="1">
      <alignment horizontal="right" indent="1"/>
    </xf>
    <xf numFmtId="164" fontId="6" fillId="0" borderId="43" xfId="1" applyNumberFormat="1" applyFont="1" applyBorder="1" applyAlignment="1">
      <alignment horizontal="right" indent="1"/>
    </xf>
    <xf numFmtId="164" fontId="6" fillId="0" borderId="44" xfId="1" applyNumberFormat="1" applyFont="1" applyBorder="1" applyAlignment="1">
      <alignment horizontal="right" indent="1"/>
    </xf>
    <xf numFmtId="164" fontId="6" fillId="5" borderId="42" xfId="1" applyNumberFormat="1" applyFont="1" applyFill="1" applyBorder="1" applyAlignment="1">
      <alignment horizontal="right" indent="1"/>
    </xf>
    <xf numFmtId="164" fontId="6" fillId="0" borderId="42" xfId="1" applyNumberFormat="1" applyFont="1" applyBorder="1" applyAlignment="1">
      <alignment horizontal="right" indent="1"/>
    </xf>
    <xf numFmtId="166" fontId="6" fillId="0" borderId="44" xfId="2" applyNumberFormat="1" applyFont="1" applyBorder="1" applyAlignment="1">
      <alignment horizontal="right" indent="1"/>
    </xf>
    <xf numFmtId="164" fontId="6" fillId="0" borderId="21" xfId="0" applyNumberFormat="1" applyFont="1" applyBorder="1" applyAlignment="1">
      <alignment horizontal="right" indent="1"/>
    </xf>
    <xf numFmtId="164" fontId="6" fillId="0" borderId="43" xfId="0" applyNumberFormat="1" applyFont="1" applyBorder="1" applyAlignment="1">
      <alignment horizontal="right" indent="1"/>
    </xf>
    <xf numFmtId="164" fontId="6" fillId="4" borderId="42" xfId="1" applyNumberFormat="1" applyFont="1" applyFill="1" applyBorder="1" applyAlignment="1">
      <alignment horizontal="right" indent="1"/>
    </xf>
    <xf numFmtId="164" fontId="6" fillId="0" borderId="33" xfId="0" applyNumberFormat="1" applyFont="1" applyBorder="1" applyAlignment="1">
      <alignment horizontal="right" indent="1"/>
    </xf>
    <xf numFmtId="164" fontId="6" fillId="0" borderId="39" xfId="0" applyNumberFormat="1" applyFont="1" applyBorder="1" applyAlignment="1">
      <alignment horizontal="right" indent="1"/>
    </xf>
    <xf numFmtId="164" fontId="6" fillId="0" borderId="42" xfId="0" applyNumberFormat="1" applyFont="1" applyBorder="1" applyAlignment="1">
      <alignment horizontal="right" indent="1"/>
    </xf>
    <xf numFmtId="166" fontId="6" fillId="0" borderId="34" xfId="2" applyNumberFormat="1" applyFont="1" applyFill="1" applyBorder="1" applyAlignment="1">
      <alignment horizontal="right" indent="1"/>
    </xf>
    <xf numFmtId="0" fontId="7" fillId="0" borderId="64" xfId="1" applyFont="1" applyBorder="1" applyAlignment="1">
      <alignment horizontal="right" indent="1"/>
    </xf>
    <xf numFmtId="164" fontId="4" fillId="0" borderId="47" xfId="0" applyNumberFormat="1" applyFont="1" applyBorder="1" applyAlignment="1">
      <alignment horizontal="right" indent="1"/>
    </xf>
    <xf numFmtId="164" fontId="6" fillId="0" borderId="48" xfId="0" applyNumberFormat="1" applyFont="1" applyBorder="1" applyAlignment="1">
      <alignment horizontal="right" indent="1"/>
    </xf>
    <xf numFmtId="164" fontId="6" fillId="0" borderId="49" xfId="1" applyNumberFormat="1" applyFont="1" applyBorder="1" applyAlignment="1">
      <alignment horizontal="right" indent="1"/>
    </xf>
    <xf numFmtId="164" fontId="6" fillId="4" borderId="47" xfId="1" applyNumberFormat="1" applyFont="1" applyFill="1" applyBorder="1" applyAlignment="1">
      <alignment horizontal="right" indent="1"/>
    </xf>
    <xf numFmtId="164" fontId="6" fillId="0" borderId="48" xfId="1" applyNumberFormat="1" applyFont="1" applyBorder="1" applyAlignment="1">
      <alignment horizontal="right" indent="1"/>
    </xf>
    <xf numFmtId="164" fontId="6" fillId="0" borderId="47" xfId="1" applyNumberFormat="1" applyFont="1" applyBorder="1" applyAlignment="1">
      <alignment horizontal="right" indent="1"/>
    </xf>
    <xf numFmtId="166" fontId="6" fillId="0" borderId="49" xfId="2" applyNumberFormat="1" applyFont="1" applyFill="1" applyBorder="1" applyAlignment="1">
      <alignment horizontal="right" indent="1"/>
    </xf>
    <xf numFmtId="166" fontId="6" fillId="0" borderId="44" xfId="2" applyNumberFormat="1" applyFont="1" applyFill="1" applyBorder="1" applyAlignment="1">
      <alignment horizontal="right" indent="1"/>
    </xf>
    <xf numFmtId="0" fontId="7" fillId="3" borderId="22" xfId="1" applyFont="1" applyFill="1" applyBorder="1" applyAlignment="1">
      <alignment horizontal="right" indent="1"/>
    </xf>
    <xf numFmtId="0" fontId="7" fillId="0" borderId="67" xfId="1" applyFont="1" applyBorder="1" applyAlignment="1">
      <alignment horizontal="right" indent="1"/>
    </xf>
    <xf numFmtId="164" fontId="4" fillId="0" borderId="43" xfId="0" applyNumberFormat="1" applyFont="1" applyBorder="1" applyAlignment="1">
      <alignment horizontal="right" indent="1"/>
    </xf>
    <xf numFmtId="164" fontId="4" fillId="0" borderId="44" xfId="0" applyNumberFormat="1" applyFont="1" applyBorder="1" applyAlignment="1">
      <alignment horizontal="right" indent="1"/>
    </xf>
    <xf numFmtId="166" fontId="4" fillId="0" borderId="43" xfId="2" applyNumberFormat="1" applyFont="1" applyBorder="1" applyAlignment="1">
      <alignment horizontal="right" indent="1"/>
    </xf>
    <xf numFmtId="164" fontId="4" fillId="0" borderId="18" xfId="0" applyNumberFormat="1" applyFont="1" applyBorder="1" applyAlignment="1">
      <alignment horizontal="right" indent="1"/>
    </xf>
    <xf numFmtId="164" fontId="6" fillId="0" borderId="34" xfId="0" applyNumberFormat="1" applyFont="1" applyBorder="1" applyAlignment="1">
      <alignment horizontal="right" indent="1"/>
    </xf>
    <xf numFmtId="166" fontId="6" fillId="0" borderId="18" xfId="2" applyNumberFormat="1" applyFont="1" applyBorder="1" applyAlignment="1">
      <alignment horizontal="right" indent="1"/>
    </xf>
    <xf numFmtId="164" fontId="4" fillId="0" borderId="48" xfId="0" applyNumberFormat="1" applyFont="1" applyBorder="1" applyAlignment="1">
      <alignment horizontal="right" indent="1"/>
    </xf>
    <xf numFmtId="164" fontId="6" fillId="0" borderId="47" xfId="0" applyNumberFormat="1" applyFont="1" applyBorder="1" applyAlignment="1">
      <alignment horizontal="right" indent="1"/>
    </xf>
    <xf numFmtId="164" fontId="6" fillId="0" borderId="49" xfId="0" applyNumberFormat="1" applyFont="1" applyBorder="1" applyAlignment="1">
      <alignment horizontal="right" indent="1"/>
    </xf>
    <xf numFmtId="166" fontId="6" fillId="0" borderId="48" xfId="2" applyNumberFormat="1" applyFont="1" applyBorder="1" applyAlignment="1">
      <alignment horizontal="right" indent="1"/>
    </xf>
    <xf numFmtId="164" fontId="6" fillId="0" borderId="46" xfId="0" applyNumberFormat="1" applyFont="1" applyBorder="1" applyAlignment="1">
      <alignment horizontal="right" indent="1"/>
    </xf>
    <xf numFmtId="166" fontId="4" fillId="0" borderId="18" xfId="2" applyNumberFormat="1" applyFont="1" applyBorder="1" applyAlignment="1">
      <alignment horizontal="right" indent="1"/>
    </xf>
    <xf numFmtId="164" fontId="4" fillId="0" borderId="34" xfId="0" applyNumberFormat="1" applyFont="1" applyBorder="1" applyAlignment="1">
      <alignment horizontal="right" indent="1"/>
    </xf>
    <xf numFmtId="164" fontId="4" fillId="0" borderId="21" xfId="0" applyNumberFormat="1" applyFont="1" applyBorder="1" applyAlignment="1">
      <alignment horizontal="right" indent="1"/>
    </xf>
    <xf numFmtId="164" fontId="4" fillId="0" borderId="40" xfId="0" applyNumberFormat="1" applyFont="1" applyBorder="1" applyAlignment="1">
      <alignment horizontal="right" indent="1"/>
    </xf>
    <xf numFmtId="166" fontId="4" fillId="0" borderId="21" xfId="2" applyNumberFormat="1" applyFont="1" applyBorder="1" applyAlignment="1">
      <alignment horizontal="right" indent="1"/>
    </xf>
    <xf numFmtId="0" fontId="5" fillId="0" borderId="7" xfId="0" applyFont="1" applyBorder="1" applyAlignment="1">
      <alignment horizontal="right" wrapText="1" indent="1"/>
    </xf>
    <xf numFmtId="0" fontId="7" fillId="0" borderId="58" xfId="0" applyFont="1" applyBorder="1" applyAlignment="1">
      <alignment horizontal="right" vertical="center" indent="1"/>
    </xf>
    <xf numFmtId="0" fontId="7" fillId="0" borderId="50" xfId="0" applyFont="1" applyBorder="1" applyAlignment="1">
      <alignment horizontal="right" vertical="center" indent="1"/>
    </xf>
    <xf numFmtId="0" fontId="7" fillId="0" borderId="56" xfId="0" applyFont="1" applyBorder="1" applyAlignment="1">
      <alignment horizontal="right" vertical="center" indent="1"/>
    </xf>
    <xf numFmtId="0" fontId="7" fillId="0" borderId="70" xfId="0" applyFont="1" applyBorder="1" applyAlignment="1">
      <alignment horizontal="right" vertical="center" indent="1"/>
    </xf>
    <xf numFmtId="0" fontId="7" fillId="0" borderId="54" xfId="0" applyFont="1" applyBorder="1" applyAlignment="1">
      <alignment horizontal="right" vertical="center" indent="1"/>
    </xf>
    <xf numFmtId="164" fontId="24" fillId="0" borderId="42" xfId="0" applyNumberFormat="1" applyFont="1" applyBorder="1" applyAlignment="1">
      <alignment horizontal="right" vertical="center" indent="1"/>
    </xf>
    <xf numFmtId="164" fontId="4" fillId="4" borderId="44" xfId="0" applyNumberFormat="1" applyFont="1" applyFill="1" applyBorder="1" applyAlignment="1">
      <alignment horizontal="right" vertical="center" indent="1"/>
    </xf>
    <xf numFmtId="166" fontId="4" fillId="0" borderId="44" xfId="2" applyNumberFormat="1" applyFont="1" applyFill="1" applyBorder="1" applyAlignment="1">
      <alignment horizontal="right" vertical="center" indent="1"/>
    </xf>
    <xf numFmtId="164" fontId="24" fillId="0" borderId="33" xfId="0" applyNumberFormat="1" applyFont="1" applyBorder="1" applyAlignment="1">
      <alignment horizontal="right" vertical="center" indent="1"/>
    </xf>
    <xf numFmtId="164" fontId="4" fillId="4" borderId="34" xfId="0" applyNumberFormat="1" applyFont="1" applyFill="1" applyBorder="1" applyAlignment="1">
      <alignment horizontal="right" vertical="center" indent="1"/>
    </xf>
    <xf numFmtId="164" fontId="6" fillId="0" borderId="47" xfId="0" applyNumberFormat="1" applyFont="1" applyBorder="1" applyAlignment="1">
      <alignment horizontal="right" vertical="center" indent="1"/>
    </xf>
    <xf numFmtId="164" fontId="6" fillId="0" borderId="48" xfId="0" applyNumberFormat="1" applyFont="1" applyBorder="1" applyAlignment="1">
      <alignment horizontal="right" vertical="center" indent="1"/>
    </xf>
    <xf numFmtId="164" fontId="6" fillId="0" borderId="49" xfId="0" applyNumberFormat="1" applyFont="1" applyBorder="1" applyAlignment="1">
      <alignment horizontal="right" vertical="center" indent="1"/>
    </xf>
    <xf numFmtId="164" fontId="25" fillId="0" borderId="47" xfId="0" applyNumberFormat="1" applyFont="1" applyBorder="1" applyAlignment="1">
      <alignment horizontal="right" vertical="center" indent="1"/>
    </xf>
    <xf numFmtId="164" fontId="6" fillId="4" borderId="49" xfId="0" applyNumberFormat="1" applyFont="1" applyFill="1" applyBorder="1" applyAlignment="1">
      <alignment horizontal="right" vertical="center" indent="1"/>
    </xf>
    <xf numFmtId="166" fontId="6" fillId="0" borderId="49" xfId="2" applyNumberFormat="1" applyFont="1" applyFill="1" applyBorder="1" applyAlignment="1">
      <alignment horizontal="right" vertical="center" indent="1"/>
    </xf>
    <xf numFmtId="164" fontId="6" fillId="0" borderId="37" xfId="0" applyNumberFormat="1" applyFont="1" applyBorder="1" applyAlignment="1">
      <alignment horizontal="right" vertical="center" indent="1"/>
    </xf>
    <xf numFmtId="164" fontId="6" fillId="0" borderId="20" xfId="0" applyNumberFormat="1" applyFont="1" applyBorder="1" applyAlignment="1">
      <alignment horizontal="right" vertical="center" indent="1"/>
    </xf>
    <xf numFmtId="164" fontId="6" fillId="0" borderId="38" xfId="0" applyNumberFormat="1" applyFont="1" applyBorder="1" applyAlignment="1">
      <alignment horizontal="right" vertical="center" indent="1"/>
    </xf>
    <xf numFmtId="164" fontId="25" fillId="0" borderId="37" xfId="0" applyNumberFormat="1" applyFont="1" applyBorder="1" applyAlignment="1">
      <alignment horizontal="right" vertical="center" indent="1"/>
    </xf>
    <xf numFmtId="164" fontId="6" fillId="4" borderId="38" xfId="0" applyNumberFormat="1" applyFont="1" applyFill="1" applyBorder="1" applyAlignment="1">
      <alignment horizontal="right" vertical="center" indent="1"/>
    </xf>
    <xf numFmtId="166" fontId="6" fillId="0" borderId="38" xfId="2" applyNumberFormat="1" applyFont="1" applyFill="1" applyBorder="1" applyAlignment="1">
      <alignment horizontal="right" vertical="center" indent="1"/>
    </xf>
    <xf numFmtId="164" fontId="6" fillId="0" borderId="33" xfId="0" applyNumberFormat="1" applyFont="1" applyBorder="1" applyAlignment="1">
      <alignment horizontal="right" vertical="center" indent="1"/>
    </xf>
    <xf numFmtId="164" fontId="6" fillId="0" borderId="18" xfId="0" applyNumberFormat="1" applyFont="1" applyBorder="1" applyAlignment="1">
      <alignment horizontal="right" vertical="center" indent="1"/>
    </xf>
    <xf numFmtId="164" fontId="6" fillId="0" borderId="34" xfId="0" applyNumberFormat="1" applyFont="1" applyBorder="1" applyAlignment="1">
      <alignment horizontal="right" vertical="center" indent="1"/>
    </xf>
    <xf numFmtId="164" fontId="25" fillId="0" borderId="33" xfId="0" applyNumberFormat="1" applyFont="1" applyBorder="1" applyAlignment="1">
      <alignment horizontal="right" vertical="center" indent="1"/>
    </xf>
    <xf numFmtId="164" fontId="6" fillId="4" borderId="34" xfId="0" applyNumberFormat="1" applyFont="1" applyFill="1" applyBorder="1" applyAlignment="1">
      <alignment horizontal="right" vertical="center" indent="1"/>
    </xf>
    <xf numFmtId="166" fontId="6" fillId="0" borderId="34" xfId="2" applyNumberFormat="1" applyFont="1" applyFill="1" applyBorder="1" applyAlignment="1">
      <alignment horizontal="right" vertical="center" indent="1"/>
    </xf>
    <xf numFmtId="164" fontId="6" fillId="0" borderId="39" xfId="0" applyNumberFormat="1" applyFont="1" applyBorder="1" applyAlignment="1">
      <alignment horizontal="right" vertical="center" indent="1"/>
    </xf>
    <xf numFmtId="164" fontId="6" fillId="0" borderId="21" xfId="0" applyNumberFormat="1" applyFont="1" applyBorder="1" applyAlignment="1">
      <alignment horizontal="right" vertical="center" indent="1"/>
    </xf>
    <xf numFmtId="164" fontId="6" fillId="0" borderId="40" xfId="0" applyNumberFormat="1" applyFont="1" applyBorder="1" applyAlignment="1">
      <alignment horizontal="right" vertical="center" indent="1"/>
    </xf>
    <xf numFmtId="164" fontId="25" fillId="0" borderId="39" xfId="0" applyNumberFormat="1" applyFont="1" applyBorder="1" applyAlignment="1">
      <alignment horizontal="right" vertical="center" indent="1"/>
    </xf>
    <xf numFmtId="164" fontId="6" fillId="4" borderId="40" xfId="0" applyNumberFormat="1" applyFont="1" applyFill="1" applyBorder="1" applyAlignment="1">
      <alignment horizontal="right" vertical="center" indent="1"/>
    </xf>
    <xf numFmtId="166" fontId="6" fillId="0" borderId="40" xfId="2" applyNumberFormat="1" applyFont="1" applyFill="1" applyBorder="1" applyAlignment="1">
      <alignment horizontal="right" vertical="center" indent="1"/>
    </xf>
    <xf numFmtId="164" fontId="6" fillId="0" borderId="42" xfId="0" applyNumberFormat="1" applyFont="1" applyBorder="1" applyAlignment="1">
      <alignment horizontal="right" vertical="center" indent="1"/>
    </xf>
    <xf numFmtId="164" fontId="6" fillId="0" borderId="43" xfId="0" applyNumberFormat="1" applyFont="1" applyBorder="1" applyAlignment="1">
      <alignment horizontal="right" vertical="center" indent="1"/>
    </xf>
    <xf numFmtId="164" fontId="6" fillId="0" borderId="44" xfId="0" applyNumberFormat="1" applyFont="1" applyBorder="1" applyAlignment="1">
      <alignment horizontal="right" vertical="center" indent="1"/>
    </xf>
    <xf numFmtId="164" fontId="25" fillId="0" borderId="42" xfId="0" applyNumberFormat="1" applyFont="1" applyBorder="1" applyAlignment="1">
      <alignment horizontal="right" vertical="center" indent="1"/>
    </xf>
    <xf numFmtId="164" fontId="6" fillId="4" borderId="44" xfId="0" applyNumberFormat="1" applyFont="1" applyFill="1" applyBorder="1" applyAlignment="1">
      <alignment horizontal="right" vertical="center" indent="1"/>
    </xf>
    <xf numFmtId="166" fontId="6" fillId="0" borderId="44" xfId="2" applyNumberFormat="1" applyFont="1" applyFill="1" applyBorder="1" applyAlignment="1">
      <alignment horizontal="right" vertical="center" indent="1"/>
    </xf>
    <xf numFmtId="164" fontId="6" fillId="7" borderId="34" xfId="0" applyNumberFormat="1" applyFont="1" applyFill="1" applyBorder="1" applyAlignment="1">
      <alignment horizontal="right" vertical="center" indent="1"/>
    </xf>
    <xf numFmtId="164" fontId="6" fillId="5" borderId="49" xfId="0" applyNumberFormat="1" applyFont="1" applyFill="1" applyBorder="1" applyAlignment="1">
      <alignment horizontal="right" vertical="center" indent="1"/>
    </xf>
    <xf numFmtId="165" fontId="6" fillId="0" borderId="37" xfId="0" applyNumberFormat="1" applyFont="1" applyBorder="1" applyAlignment="1">
      <alignment horizontal="right" vertical="center" indent="1"/>
    </xf>
    <xf numFmtId="165" fontId="6" fillId="0" borderId="33" xfId="0" applyNumberFormat="1" applyFont="1" applyBorder="1" applyAlignment="1">
      <alignment horizontal="right" vertical="center" indent="1"/>
    </xf>
    <xf numFmtId="166" fontId="6" fillId="0" borderId="34" xfId="2" applyNumberFormat="1" applyFont="1" applyBorder="1" applyAlignment="1">
      <alignment horizontal="right" vertical="center" indent="1"/>
    </xf>
    <xf numFmtId="165" fontId="6" fillId="0" borderId="39" xfId="0" applyNumberFormat="1" applyFont="1" applyBorder="1" applyAlignment="1">
      <alignment horizontal="right" vertical="center" indent="1"/>
    </xf>
    <xf numFmtId="166" fontId="6" fillId="0" borderId="40" xfId="2" applyNumberFormat="1" applyFont="1" applyBorder="1" applyAlignment="1">
      <alignment horizontal="right" vertical="center" indent="1"/>
    </xf>
    <xf numFmtId="165" fontId="4" fillId="0" borderId="42" xfId="0" applyNumberFormat="1" applyFont="1" applyBorder="1" applyAlignment="1">
      <alignment horizontal="right" vertical="center" indent="1"/>
    </xf>
    <xf numFmtId="166" fontId="6" fillId="0" borderId="44" xfId="2" applyNumberFormat="1" applyFont="1" applyBorder="1" applyAlignment="1">
      <alignment horizontal="right" vertical="center" indent="1"/>
    </xf>
    <xf numFmtId="166" fontId="6" fillId="0" borderId="49" xfId="2" applyNumberFormat="1" applyFont="1" applyBorder="1" applyAlignment="1">
      <alignment horizontal="right" vertical="center" indent="1"/>
    </xf>
    <xf numFmtId="166" fontId="6" fillId="0" borderId="38" xfId="2" applyNumberFormat="1" applyFont="1" applyBorder="1" applyAlignment="1">
      <alignment horizontal="right" vertical="center" indent="1"/>
    </xf>
    <xf numFmtId="164" fontId="6" fillId="0" borderId="44" xfId="0" applyNumberFormat="1" applyFont="1" applyBorder="1" applyAlignment="1">
      <alignment horizontal="right" indent="1"/>
    </xf>
    <xf numFmtId="166" fontId="6" fillId="0" borderId="49" xfId="2" applyNumberFormat="1" applyFont="1" applyBorder="1" applyAlignment="1">
      <alignment horizontal="right" indent="1"/>
    </xf>
    <xf numFmtId="166" fontId="6" fillId="0" borderId="43" xfId="2" applyNumberFormat="1" applyFont="1" applyBorder="1" applyAlignment="1">
      <alignment horizontal="right" indent="1"/>
    </xf>
    <xf numFmtId="164" fontId="31" fillId="0" borderId="18" xfId="4" applyNumberFormat="1" applyFont="1" applyBorder="1" applyAlignment="1" applyProtection="1">
      <alignment horizontal="right" vertical="center" indent="1"/>
      <protection locked="0"/>
    </xf>
    <xf numFmtId="164" fontId="32" fillId="0" borderId="18" xfId="4" applyNumberFormat="1" applyFont="1" applyBorder="1" applyAlignment="1" applyProtection="1">
      <alignment horizontal="right" vertical="center" indent="1"/>
      <protection locked="0"/>
    </xf>
    <xf numFmtId="164" fontId="30" fillId="0" borderId="18" xfId="4" applyNumberFormat="1" applyFont="1" applyBorder="1" applyAlignment="1" applyProtection="1">
      <alignment horizontal="right" vertical="center" indent="1"/>
      <protection locked="0"/>
    </xf>
    <xf numFmtId="164" fontId="33" fillId="0" borderId="18" xfId="4" applyNumberFormat="1" applyFont="1" applyBorder="1" applyAlignment="1" applyProtection="1">
      <alignment horizontal="right" vertical="center" indent="1"/>
      <protection locked="0"/>
    </xf>
    <xf numFmtId="164" fontId="31" fillId="0" borderId="48" xfId="4" applyNumberFormat="1" applyFont="1" applyBorder="1" applyAlignment="1" applyProtection="1">
      <alignment horizontal="right" vertical="center" indent="1"/>
      <protection locked="0"/>
    </xf>
    <xf numFmtId="0" fontId="7" fillId="0" borderId="14" xfId="0" applyFont="1" applyBorder="1" applyAlignment="1">
      <alignment horizontal="right" wrapText="1"/>
    </xf>
    <xf numFmtId="165" fontId="6" fillId="0" borderId="7" xfId="0" applyNumberFormat="1" applyFont="1" applyBorder="1" applyAlignment="1">
      <alignment horizontal="right" indent="1"/>
    </xf>
    <xf numFmtId="165" fontId="6" fillId="0" borderId="17" xfId="0" applyNumberFormat="1" applyFont="1" applyBorder="1" applyAlignment="1">
      <alignment horizontal="right" indent="1"/>
    </xf>
    <xf numFmtId="164" fontId="6" fillId="0" borderId="7" xfId="0" applyNumberFormat="1" applyFont="1" applyBorder="1" applyAlignment="1">
      <alignment horizontal="right" indent="1"/>
    </xf>
    <xf numFmtId="3" fontId="6" fillId="3" borderId="9" xfId="0" applyNumberFormat="1" applyFont="1" applyFill="1" applyBorder="1" applyAlignment="1">
      <alignment horizontal="right" indent="1"/>
    </xf>
    <xf numFmtId="164" fontId="6" fillId="0" borderId="20" xfId="0" applyNumberFormat="1" applyFont="1" applyBorder="1" applyAlignment="1">
      <alignment horizontal="right" indent="1"/>
    </xf>
    <xf numFmtId="164" fontId="6" fillId="0" borderId="20" xfId="1" applyNumberFormat="1" applyFont="1" applyBorder="1" applyAlignment="1">
      <alignment horizontal="right" indent="1"/>
    </xf>
    <xf numFmtId="166" fontId="6" fillId="0" borderId="38" xfId="2" applyNumberFormat="1" applyFont="1" applyFill="1" applyBorder="1" applyAlignment="1">
      <alignment horizontal="right" indent="1"/>
    </xf>
    <xf numFmtId="164" fontId="6" fillId="0" borderId="36" xfId="1" applyNumberFormat="1" applyFont="1" applyBorder="1" applyAlignment="1">
      <alignment horizontal="left" wrapText="1"/>
    </xf>
    <xf numFmtId="164" fontId="6" fillId="0" borderId="51" xfId="1" applyNumberFormat="1" applyFont="1" applyBorder="1" applyAlignment="1">
      <alignment horizontal="left" wrapText="1"/>
    </xf>
    <xf numFmtId="164" fontId="29" fillId="0" borderId="51" xfId="3" applyNumberFormat="1" applyFill="1" applyBorder="1" applyAlignment="1">
      <alignment horizontal="left" vertical="center" wrapText="1"/>
    </xf>
    <xf numFmtId="0" fontId="7" fillId="0" borderId="7" xfId="0" applyFont="1" applyBorder="1" applyAlignment="1">
      <alignment horizontal="right" vertical="center" indent="1"/>
    </xf>
    <xf numFmtId="164" fontId="6" fillId="0" borderId="45" xfId="0" applyNumberFormat="1" applyFont="1" applyBorder="1" applyAlignment="1">
      <alignment horizontal="right" vertical="center" indent="1"/>
    </xf>
    <xf numFmtId="164" fontId="6" fillId="0" borderId="0" xfId="0" applyNumberFormat="1" applyFont="1" applyAlignment="1">
      <alignment horizontal="right" vertical="center" indent="1"/>
    </xf>
    <xf numFmtId="164" fontId="6" fillId="0" borderId="17" xfId="0" applyNumberFormat="1" applyFont="1" applyBorder="1" applyAlignment="1">
      <alignment horizontal="right" vertical="center" indent="1"/>
    </xf>
    <xf numFmtId="164" fontId="25" fillId="0" borderId="45" xfId="0" applyNumberFormat="1" applyFont="1" applyBorder="1" applyAlignment="1">
      <alignment horizontal="right" vertical="center" indent="1"/>
    </xf>
    <xf numFmtId="164" fontId="6" fillId="4" borderId="17" xfId="0" applyNumberFormat="1" applyFont="1" applyFill="1" applyBorder="1" applyAlignment="1">
      <alignment horizontal="right" vertical="center" indent="1"/>
    </xf>
    <xf numFmtId="166" fontId="6" fillId="0" borderId="17" xfId="2" applyNumberFormat="1" applyFont="1" applyFill="1" applyBorder="1" applyAlignment="1">
      <alignment horizontal="right" vertical="center" indent="1"/>
    </xf>
    <xf numFmtId="164" fontId="29" fillId="0" borderId="9" xfId="3" applyNumberFormat="1" applyFill="1" applyBorder="1" applyAlignment="1">
      <alignment horizontal="left" vertical="center" wrapText="1"/>
    </xf>
    <xf numFmtId="0" fontId="7" fillId="3" borderId="58" xfId="0" applyFont="1" applyFill="1" applyBorder="1" applyAlignment="1">
      <alignment horizontal="right" vertical="center" indent="1"/>
    </xf>
    <xf numFmtId="164" fontId="25" fillId="3" borderId="47" xfId="0" applyNumberFormat="1" applyFont="1" applyFill="1" applyBorder="1" applyAlignment="1">
      <alignment horizontal="right" vertical="center" indent="1"/>
    </xf>
    <xf numFmtId="164" fontId="6" fillId="3" borderId="78" xfId="0" applyNumberFormat="1" applyFont="1" applyFill="1" applyBorder="1" applyAlignment="1">
      <alignment horizontal="right" vertical="center" indent="1"/>
    </xf>
    <xf numFmtId="164" fontId="6" fillId="3" borderId="77" xfId="0" applyNumberFormat="1" applyFont="1" applyFill="1" applyBorder="1" applyAlignment="1">
      <alignment horizontal="right" vertical="center" indent="1"/>
    </xf>
    <xf numFmtId="166" fontId="6" fillId="3" borderId="78" xfId="0" applyNumberFormat="1" applyFont="1" applyFill="1" applyBorder="1" applyAlignment="1">
      <alignment horizontal="right" vertical="center" indent="1"/>
    </xf>
    <xf numFmtId="164" fontId="6" fillId="3" borderId="11" xfId="1" applyNumberFormat="1" applyFont="1" applyFill="1" applyBorder="1" applyAlignment="1">
      <alignment horizontal="right" vertical="center" indent="1"/>
    </xf>
    <xf numFmtId="164" fontId="4" fillId="0" borderId="21" xfId="0" applyNumberFormat="1" applyFont="1" applyBorder="1" applyAlignment="1">
      <alignment horizontal="right" vertical="center" indent="1"/>
    </xf>
    <xf numFmtId="164" fontId="6" fillId="3" borderId="65" xfId="0" applyNumberFormat="1" applyFont="1" applyFill="1" applyBorder="1" applyAlignment="1">
      <alignment horizontal="right" vertical="center" indent="1"/>
    </xf>
    <xf numFmtId="0" fontId="5" fillId="0" borderId="70" xfId="0" applyFont="1" applyBorder="1" applyAlignment="1">
      <alignment horizontal="left" vertical="center" indent="1"/>
    </xf>
    <xf numFmtId="164" fontId="4" fillId="0" borderId="39" xfId="0" applyNumberFormat="1" applyFont="1" applyBorder="1" applyAlignment="1">
      <alignment horizontal="right" vertical="center" indent="1"/>
    </xf>
    <xf numFmtId="164" fontId="4" fillId="0" borderId="40" xfId="0" applyNumberFormat="1" applyFont="1" applyBorder="1" applyAlignment="1">
      <alignment horizontal="right" vertical="center" indent="1"/>
    </xf>
    <xf numFmtId="164" fontId="4" fillId="4" borderId="35" xfId="0" applyNumberFormat="1" applyFont="1" applyFill="1" applyBorder="1" applyAlignment="1">
      <alignment horizontal="right" vertical="center" indent="1"/>
    </xf>
    <xf numFmtId="164" fontId="4" fillId="0" borderId="69" xfId="0" applyNumberFormat="1" applyFont="1" applyBorder="1" applyAlignment="1">
      <alignment horizontal="right" vertical="center" indent="1"/>
    </xf>
    <xf numFmtId="164" fontId="6" fillId="0" borderId="9" xfId="1" applyNumberFormat="1" applyFont="1" applyBorder="1" applyAlignment="1">
      <alignment horizontal="left" wrapText="1"/>
    </xf>
    <xf numFmtId="164" fontId="6" fillId="3" borderId="48" xfId="1" applyNumberFormat="1" applyFont="1" applyFill="1" applyBorder="1" applyAlignment="1">
      <alignment horizontal="right" indent="1"/>
    </xf>
    <xf numFmtId="164" fontId="6" fillId="3" borderId="48" xfId="0" applyNumberFormat="1" applyFont="1" applyFill="1" applyBorder="1" applyAlignment="1">
      <alignment horizontal="right" indent="1"/>
    </xf>
    <xf numFmtId="164" fontId="6" fillId="3" borderId="49" xfId="1" applyNumberFormat="1" applyFont="1" applyFill="1" applyBorder="1" applyAlignment="1">
      <alignment horizontal="right" indent="1"/>
    </xf>
    <xf numFmtId="164" fontId="6" fillId="3" borderId="47" xfId="1" applyNumberFormat="1" applyFont="1" applyFill="1" applyBorder="1" applyAlignment="1">
      <alignment horizontal="right" indent="1"/>
    </xf>
    <xf numFmtId="166" fontId="6" fillId="3" borderId="49" xfId="2" applyNumberFormat="1" applyFont="1" applyFill="1" applyBorder="1" applyAlignment="1">
      <alignment horizontal="right" indent="1"/>
    </xf>
    <xf numFmtId="164" fontId="6" fillId="3" borderId="46" xfId="1" applyNumberFormat="1" applyFont="1" applyFill="1" applyBorder="1" applyAlignment="1">
      <alignment horizontal="right" indent="1"/>
    </xf>
    <xf numFmtId="164" fontId="6" fillId="4" borderId="16" xfId="0" applyNumberFormat="1" applyFont="1" applyFill="1" applyBorder="1" applyAlignment="1">
      <alignment horizontal="right" vertical="center" indent="1"/>
    </xf>
    <xf numFmtId="0" fontId="35" fillId="0" borderId="0" xfId="4" applyFont="1" applyAlignment="1">
      <alignment horizontal="right"/>
    </xf>
    <xf numFmtId="0" fontId="1" fillId="0" borderId="0" xfId="4" applyFont="1" applyAlignment="1">
      <alignment vertical="center"/>
    </xf>
    <xf numFmtId="164" fontId="29" fillId="0" borderId="59" xfId="3" applyNumberFormat="1" applyFill="1" applyBorder="1" applyAlignment="1">
      <alignment horizontal="left" vertical="center" wrapText="1"/>
    </xf>
    <xf numFmtId="164" fontId="6" fillId="3" borderId="59" xfId="0" applyNumberFormat="1" applyFont="1" applyFill="1" applyBorder="1" applyAlignment="1">
      <alignment horizontal="right" vertical="center" indent="1"/>
    </xf>
    <xf numFmtId="166" fontId="6" fillId="3" borderId="14" xfId="0" applyNumberFormat="1" applyFont="1" applyFill="1" applyBorder="1" applyAlignment="1">
      <alignment horizontal="right" vertical="center" indent="1"/>
    </xf>
    <xf numFmtId="164" fontId="6" fillId="3" borderId="23" xfId="0" applyNumberFormat="1" applyFont="1" applyFill="1" applyBorder="1" applyAlignment="1">
      <alignment horizontal="right" vertical="center" indent="1"/>
    </xf>
    <xf numFmtId="164" fontId="6" fillId="3" borderId="12" xfId="0" applyNumberFormat="1" applyFont="1" applyFill="1" applyBorder="1" applyAlignment="1">
      <alignment horizontal="right" vertical="center" indent="1"/>
    </xf>
    <xf numFmtId="0" fontId="21" fillId="0" borderId="0" xfId="0" applyFont="1"/>
    <xf numFmtId="4" fontId="36" fillId="0" borderId="0" xfId="1" applyNumberFormat="1" applyFont="1"/>
    <xf numFmtId="0" fontId="6" fillId="0" borderId="0" xfId="0" applyFont="1"/>
    <xf numFmtId="0" fontId="21" fillId="0" borderId="0" xfId="0" applyFont="1" applyAlignment="1">
      <alignment horizontal="right" vertical="center"/>
    </xf>
    <xf numFmtId="0" fontId="37" fillId="0" borderId="0" xfId="0" applyFont="1" applyAlignment="1">
      <alignment horizontal="right" vertical="center"/>
    </xf>
    <xf numFmtId="164" fontId="21" fillId="0" borderId="0" xfId="0" applyNumberFormat="1" applyFont="1" applyAlignment="1">
      <alignment horizontal="right" vertical="center"/>
    </xf>
    <xf numFmtId="0" fontId="9" fillId="0" borderId="0" xfId="0" applyFont="1"/>
    <xf numFmtId="0" fontId="7" fillId="0" borderId="25" xfId="0" applyFont="1" applyBorder="1" applyAlignment="1">
      <alignment wrapText="1"/>
    </xf>
    <xf numFmtId="0" fontId="7" fillId="0" borderId="19" xfId="0" applyFont="1" applyBorder="1" applyAlignment="1">
      <alignment wrapText="1"/>
    </xf>
    <xf numFmtId="0" fontId="7" fillId="0" borderId="31" xfId="0" applyFont="1" applyBorder="1" applyAlignment="1">
      <alignment horizontal="right" vertical="top" wrapText="1" indent="1"/>
    </xf>
    <xf numFmtId="0" fontId="7" fillId="0" borderId="0" xfId="0" applyFont="1" applyAlignment="1">
      <alignment horizontal="right" vertical="top" wrapText="1"/>
    </xf>
    <xf numFmtId="0" fontId="7" fillId="0" borderId="30" xfId="0" applyFont="1" applyBorder="1" applyAlignment="1">
      <alignment horizontal="right" vertical="top" wrapText="1"/>
    </xf>
    <xf numFmtId="0" fontId="6" fillId="0" borderId="0" xfId="0" applyFont="1" applyAlignment="1">
      <alignment vertical="top"/>
    </xf>
    <xf numFmtId="0" fontId="7" fillId="0" borderId="60" xfId="0" applyFont="1" applyBorder="1" applyAlignment="1">
      <alignment horizontal="right" vertical="center" indent="1"/>
    </xf>
    <xf numFmtId="164" fontId="6" fillId="0" borderId="61" xfId="0" applyNumberFormat="1" applyFont="1" applyBorder="1" applyAlignment="1">
      <alignment horizontal="right" vertical="center" indent="1"/>
    </xf>
    <xf numFmtId="0" fontId="7" fillId="0" borderId="62" xfId="0" applyFont="1" applyBorder="1" applyAlignment="1">
      <alignment horizontal="right" vertical="center" indent="1"/>
    </xf>
    <xf numFmtId="164" fontId="6" fillId="0" borderId="63" xfId="0" applyNumberFormat="1" applyFont="1" applyBorder="1" applyAlignment="1">
      <alignment horizontal="right" vertical="center" indent="1"/>
    </xf>
    <xf numFmtId="0" fontId="7" fillId="0" borderId="64" xfId="0" applyFont="1" applyBorder="1" applyAlignment="1">
      <alignment horizontal="right" vertical="center" indent="1"/>
    </xf>
    <xf numFmtId="164" fontId="6" fillId="0" borderId="65" xfId="0" applyNumberFormat="1" applyFont="1" applyBorder="1" applyAlignment="1">
      <alignment horizontal="right" vertical="center" indent="1"/>
    </xf>
    <xf numFmtId="0" fontId="6" fillId="0" borderId="0" xfId="0" applyFont="1" applyAlignment="1">
      <alignment horizontal="left" vertical="center"/>
    </xf>
    <xf numFmtId="0" fontId="7" fillId="0" borderId="67" xfId="0" applyFont="1" applyBorder="1" applyAlignment="1">
      <alignment horizontal="right" vertical="center" indent="1"/>
    </xf>
    <xf numFmtId="164" fontId="6" fillId="0" borderId="68" xfId="0" applyNumberFormat="1" applyFont="1" applyBorder="1" applyAlignment="1">
      <alignment horizontal="right" vertical="center" indent="1"/>
    </xf>
    <xf numFmtId="164" fontId="6" fillId="0" borderId="30" xfId="0" applyNumberFormat="1" applyFont="1" applyBorder="1" applyAlignment="1">
      <alignment horizontal="right" vertical="center" indent="1"/>
    </xf>
    <xf numFmtId="0" fontId="13" fillId="0" borderId="0" xfId="0" applyFont="1"/>
    <xf numFmtId="0" fontId="7" fillId="3" borderId="58" xfId="0" applyFont="1" applyFill="1" applyBorder="1" applyAlignment="1">
      <alignment horizontal="left" vertical="center" indent="1"/>
    </xf>
    <xf numFmtId="164" fontId="6" fillId="3" borderId="16" xfId="0" applyNumberFormat="1" applyFont="1" applyFill="1" applyBorder="1" applyAlignment="1">
      <alignment horizontal="right" vertical="center" indent="1"/>
    </xf>
    <xf numFmtId="164" fontId="6" fillId="4" borderId="46" xfId="0" applyNumberFormat="1" applyFont="1" applyFill="1" applyBorder="1" applyAlignment="1">
      <alignment horizontal="right" vertical="center" indent="1"/>
    </xf>
    <xf numFmtId="166" fontId="6" fillId="3" borderId="49" xfId="2" applyNumberFormat="1" applyFont="1" applyFill="1" applyBorder="1" applyAlignment="1">
      <alignment horizontal="right" vertical="center" indent="1"/>
    </xf>
    <xf numFmtId="0" fontId="7" fillId="0" borderId="75" xfId="0" applyFont="1" applyBorder="1" applyAlignment="1">
      <alignment horizontal="right" indent="1"/>
    </xf>
    <xf numFmtId="165" fontId="6" fillId="0" borderId="70" xfId="0" applyNumberFormat="1" applyFont="1" applyBorder="1" applyAlignment="1">
      <alignment horizontal="right" indent="1"/>
    </xf>
    <xf numFmtId="165" fontId="6" fillId="0" borderId="40" xfId="0" applyNumberFormat="1" applyFont="1" applyBorder="1" applyAlignment="1">
      <alignment horizontal="right" indent="1"/>
    </xf>
    <xf numFmtId="164" fontId="6" fillId="0" borderId="35" xfId="0" applyNumberFormat="1" applyFont="1" applyBorder="1" applyAlignment="1">
      <alignment horizontal="right" indent="1"/>
    </xf>
    <xf numFmtId="164" fontId="6" fillId="0" borderId="70" xfId="0" applyNumberFormat="1" applyFont="1" applyBorder="1" applyAlignment="1">
      <alignment horizontal="right" indent="1"/>
    </xf>
    <xf numFmtId="3" fontId="6" fillId="3" borderId="69" xfId="0" applyNumberFormat="1" applyFont="1" applyFill="1" applyBorder="1" applyAlignment="1">
      <alignment horizontal="right" indent="1"/>
    </xf>
    <xf numFmtId="164" fontId="6" fillId="0" borderId="58" xfId="0" applyNumberFormat="1" applyFont="1" applyBorder="1" applyAlignment="1">
      <alignment horizontal="right" indent="1"/>
    </xf>
    <xf numFmtId="0" fontId="7" fillId="0" borderId="74" xfId="0" applyFont="1" applyBorder="1" applyAlignment="1">
      <alignment horizontal="right"/>
    </xf>
    <xf numFmtId="164" fontId="6" fillId="0" borderId="13" xfId="0" applyNumberFormat="1" applyFont="1" applyBorder="1" applyAlignment="1">
      <alignment horizontal="right" indent="1"/>
    </xf>
    <xf numFmtId="164" fontId="6" fillId="0" borderId="14" xfId="0" applyNumberFormat="1" applyFont="1" applyBorder="1" applyAlignment="1">
      <alignment horizontal="right" indent="1"/>
    </xf>
    <xf numFmtId="166" fontId="6" fillId="3" borderId="59" xfId="0" applyNumberFormat="1" applyFont="1" applyFill="1" applyBorder="1" applyAlignment="1">
      <alignment horizontal="right" indent="1"/>
    </xf>
    <xf numFmtId="165" fontId="6" fillId="0" borderId="13" xfId="0" applyNumberFormat="1" applyFont="1" applyBorder="1" applyAlignment="1">
      <alignment horizontal="right" indent="1"/>
    </xf>
    <xf numFmtId="165" fontId="6" fillId="0" borderId="16" xfId="0" applyNumberFormat="1" applyFont="1" applyBorder="1" applyAlignment="1">
      <alignment horizontal="right" indent="1"/>
    </xf>
    <xf numFmtId="3" fontId="6" fillId="3" borderId="59" xfId="0" applyNumberFormat="1" applyFont="1" applyFill="1" applyBorder="1" applyAlignment="1">
      <alignment horizontal="right" indent="1"/>
    </xf>
    <xf numFmtId="3" fontId="6" fillId="0" borderId="14" xfId="0" applyNumberFormat="1" applyFont="1" applyBorder="1" applyAlignment="1">
      <alignment horizontal="right" indent="1"/>
    </xf>
    <xf numFmtId="0" fontId="7" fillId="0" borderId="25" xfId="0" applyFont="1" applyBorder="1" applyAlignment="1">
      <alignment horizontal="left" vertical="center"/>
    </xf>
    <xf numFmtId="0" fontId="6" fillId="0" borderId="19" xfId="0" applyFont="1" applyBorder="1" applyAlignment="1">
      <alignment horizontal="left" vertical="center"/>
    </xf>
    <xf numFmtId="0" fontId="6" fillId="0" borderId="26" xfId="0" applyFont="1" applyBorder="1" applyAlignment="1">
      <alignment horizontal="left" vertical="center"/>
    </xf>
    <xf numFmtId="164" fontId="6" fillId="0" borderId="10" xfId="0" applyNumberFormat="1" applyFont="1" applyBorder="1" applyAlignment="1">
      <alignment horizontal="right" indent="1"/>
    </xf>
    <xf numFmtId="164" fontId="6" fillId="0" borderId="11" xfId="0" applyNumberFormat="1" applyFont="1" applyBorder="1" applyAlignment="1">
      <alignment horizontal="right" indent="1"/>
    </xf>
    <xf numFmtId="164" fontId="6" fillId="3" borderId="59" xfId="0" applyNumberFormat="1" applyFont="1" applyFill="1" applyBorder="1" applyAlignment="1">
      <alignment horizontal="right" indent="1"/>
    </xf>
    <xf numFmtId="164" fontId="6" fillId="0" borderId="59" xfId="0" applyNumberFormat="1" applyFont="1" applyBorder="1" applyAlignment="1">
      <alignment horizontal="right" indent="1"/>
    </xf>
    <xf numFmtId="164" fontId="6" fillId="3" borderId="47" xfId="0" applyNumberFormat="1" applyFont="1" applyFill="1" applyBorder="1" applyAlignment="1">
      <alignment horizontal="right" indent="1"/>
    </xf>
    <xf numFmtId="164" fontId="29" fillId="0" borderId="69" xfId="3" applyNumberFormat="1" applyFill="1" applyBorder="1" applyAlignment="1">
      <alignment horizontal="left" vertical="center" wrapText="1"/>
    </xf>
    <xf numFmtId="166" fontId="6" fillId="0" borderId="46" xfId="0" applyNumberFormat="1" applyFont="1" applyBorder="1" applyAlignment="1">
      <alignment horizontal="right" vertical="center" indent="1"/>
    </xf>
    <xf numFmtId="164" fontId="6" fillId="3" borderId="79" xfId="0" applyNumberFormat="1" applyFont="1" applyFill="1" applyBorder="1" applyAlignment="1">
      <alignment horizontal="right" vertical="center" indent="1"/>
    </xf>
    <xf numFmtId="0" fontId="7" fillId="3" borderId="58" xfId="0" applyFont="1" applyFill="1" applyBorder="1" applyAlignment="1">
      <alignment horizontal="center" vertical="center"/>
    </xf>
    <xf numFmtId="164" fontId="6" fillId="3" borderId="14" xfId="0" applyNumberFormat="1" applyFont="1" applyFill="1" applyBorder="1" applyAlignment="1">
      <alignment horizontal="right" vertical="center" indent="1"/>
    </xf>
    <xf numFmtId="164" fontId="6" fillId="0" borderId="23" xfId="0" applyNumberFormat="1" applyFont="1" applyBorder="1" applyAlignment="1">
      <alignment horizontal="right" indent="1"/>
    </xf>
    <xf numFmtId="166" fontId="6" fillId="0" borderId="78" xfId="2" applyNumberFormat="1" applyFont="1" applyBorder="1" applyAlignment="1">
      <alignment horizontal="right" indent="1"/>
    </xf>
    <xf numFmtId="164" fontId="31" fillId="3" borderId="71" xfId="4" applyNumberFormat="1" applyFont="1" applyFill="1" applyBorder="1" applyAlignment="1" applyProtection="1">
      <alignment horizontal="right" vertical="center" indent="1"/>
      <protection locked="0"/>
    </xf>
    <xf numFmtId="164" fontId="30" fillId="3" borderId="71" xfId="4" applyNumberFormat="1" applyFont="1" applyFill="1" applyBorder="1" applyAlignment="1" applyProtection="1">
      <alignment horizontal="right" vertical="center" indent="1"/>
      <protection locked="0"/>
    </xf>
    <xf numFmtId="164" fontId="31" fillId="3" borderId="74" xfId="4" applyNumberFormat="1" applyFont="1" applyFill="1" applyBorder="1" applyAlignment="1" applyProtection="1">
      <alignment horizontal="right" vertical="center" indent="1"/>
      <protection locked="0"/>
    </xf>
    <xf numFmtId="164" fontId="6" fillId="0" borderId="77" xfId="0" applyNumberFormat="1" applyFont="1" applyBorder="1" applyAlignment="1">
      <alignment horizontal="right" indent="1"/>
    </xf>
    <xf numFmtId="164" fontId="6" fillId="0" borderId="78" xfId="0" applyNumberFormat="1" applyFont="1" applyBorder="1" applyAlignment="1">
      <alignment horizontal="right" indent="1"/>
    </xf>
    <xf numFmtId="164" fontId="4" fillId="0" borderId="49" xfId="0" applyNumberFormat="1" applyFont="1" applyBorder="1" applyAlignment="1">
      <alignment horizontal="right" indent="1"/>
    </xf>
    <xf numFmtId="0" fontId="6" fillId="0" borderId="0" xfId="0" applyFont="1" applyAlignment="1">
      <alignment wrapText="1"/>
    </xf>
    <xf numFmtId="0" fontId="8" fillId="0" borderId="0" xfId="0" applyFont="1" applyAlignment="1">
      <alignment wrapText="1"/>
    </xf>
    <xf numFmtId="0" fontId="6" fillId="0" borderId="0" xfId="0" applyFont="1" applyAlignment="1">
      <alignment vertical="top" wrapText="1"/>
    </xf>
    <xf numFmtId="0" fontId="8" fillId="0" borderId="0" xfId="0" applyFont="1" applyAlignment="1">
      <alignment vertical="top" wrapText="1"/>
    </xf>
    <xf numFmtId="0" fontId="4" fillId="0" borderId="0" xfId="0" applyFont="1" applyAlignment="1">
      <alignment horizontal="center"/>
    </xf>
    <xf numFmtId="0" fontId="0" fillId="0" borderId="0" xfId="0" applyAlignment="1">
      <alignment horizontal="center"/>
    </xf>
    <xf numFmtId="0" fontId="13" fillId="0" borderId="0" xfId="0" applyFont="1" applyAlignment="1">
      <alignment wrapText="1"/>
    </xf>
    <xf numFmtId="0" fontId="5" fillId="0" borderId="19" xfId="0" applyFont="1" applyBorder="1" applyAlignment="1">
      <alignment horizontal="center" wrapText="1"/>
    </xf>
    <xf numFmtId="0" fontId="0" fillId="0" borderId="19" xfId="0" applyBorder="1" applyAlignment="1">
      <alignment horizontal="center" wrapText="1"/>
    </xf>
    <xf numFmtId="0" fontId="0" fillId="0" borderId="26" xfId="0" applyBorder="1" applyAlignment="1">
      <alignment horizontal="center" wrapText="1"/>
    </xf>
    <xf numFmtId="0" fontId="8" fillId="0" borderId="0" xfId="0" applyFont="1"/>
    <xf numFmtId="0" fontId="6" fillId="0" borderId="0" xfId="0" applyFont="1"/>
    <xf numFmtId="0" fontId="13" fillId="0" borderId="0" xfId="0" applyFont="1"/>
    <xf numFmtId="0" fontId="7" fillId="0" borderId="19" xfId="0" applyFont="1" applyBorder="1" applyAlignment="1">
      <alignment horizontal="center" wrapText="1"/>
    </xf>
    <xf numFmtId="0" fontId="8" fillId="0" borderId="26" xfId="0" applyFont="1" applyBorder="1" applyAlignment="1">
      <alignment horizontal="center" wrapText="1"/>
    </xf>
    <xf numFmtId="0" fontId="13" fillId="0" borderId="0" xfId="0" applyFont="1" applyAlignment="1">
      <alignment vertical="top" wrapText="1"/>
    </xf>
    <xf numFmtId="0" fontId="4" fillId="0" borderId="0" xfId="0" applyFont="1"/>
    <xf numFmtId="0" fontId="0" fillId="0" borderId="0" xfId="0"/>
    <xf numFmtId="0" fontId="4" fillId="0" borderId="0" xfId="0" applyFont="1" applyAlignment="1">
      <alignment wrapText="1"/>
    </xf>
    <xf numFmtId="0" fontId="0" fillId="0" borderId="0" xfId="0" applyAlignment="1">
      <alignment wrapText="1"/>
    </xf>
    <xf numFmtId="0" fontId="5" fillId="0" borderId="42" xfId="0" applyFont="1" applyBorder="1" applyAlignment="1">
      <alignment horizontal="center"/>
    </xf>
    <xf numFmtId="0" fontId="15" fillId="0" borderId="43" xfId="0" applyFont="1" applyBorder="1" applyAlignment="1">
      <alignment horizontal="center"/>
    </xf>
    <xf numFmtId="0" fontId="15" fillId="0" borderId="44" xfId="0" applyFont="1" applyBorder="1" applyAlignment="1">
      <alignment horizontal="center"/>
    </xf>
    <xf numFmtId="0" fontId="0" fillId="0" borderId="44" xfId="0" applyBorder="1" applyAlignment="1">
      <alignment horizontal="center"/>
    </xf>
    <xf numFmtId="0" fontId="5" fillId="0" borderId="29" xfId="0" applyFont="1" applyBorder="1" applyAlignment="1">
      <alignment horizontal="right" wrapText="1"/>
    </xf>
    <xf numFmtId="0" fontId="0" fillId="0" borderId="9" xfId="0" applyBorder="1" applyAlignment="1">
      <alignment horizontal="right" wrapText="1"/>
    </xf>
    <xf numFmtId="0" fontId="5"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7"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7" fillId="0" borderId="25" xfId="0" applyFont="1" applyBorder="1" applyAlignment="1">
      <alignment horizontal="left" vertical="center"/>
    </xf>
    <xf numFmtId="0" fontId="7" fillId="0" borderId="19" xfId="0" applyFont="1" applyBorder="1" applyAlignment="1">
      <alignment horizontal="left" vertical="center"/>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6" fillId="0" borderId="19" xfId="0" applyFont="1" applyBorder="1" applyAlignment="1">
      <alignment horizontal="left" vertical="center"/>
    </xf>
    <xf numFmtId="0" fontId="6" fillId="0" borderId="26" xfId="0" applyFont="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9" xfId="0" applyFont="1" applyBorder="1" applyAlignment="1">
      <alignment horizontal="left" vertical="center"/>
    </xf>
    <xf numFmtId="0" fontId="8" fillId="0" borderId="26" xfId="0" applyFont="1" applyBorder="1" applyAlignment="1">
      <alignment horizontal="left" vertical="center"/>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40" fillId="0" borderId="31" xfId="0" applyFont="1" applyBorder="1" applyAlignment="1">
      <alignment horizontal="left" wrapText="1"/>
    </xf>
    <xf numFmtId="0" fontId="6" fillId="0" borderId="0" xfId="0" applyFont="1" applyAlignment="1">
      <alignment horizontal="left" wrapText="1"/>
    </xf>
    <xf numFmtId="0" fontId="6" fillId="0" borderId="30" xfId="0" applyFont="1" applyBorder="1" applyAlignment="1">
      <alignment horizontal="left" wrapText="1"/>
    </xf>
    <xf numFmtId="0" fontId="40" fillId="0" borderId="31" xfId="0" quotePrefix="1" applyFont="1" applyBorder="1" applyAlignment="1">
      <alignment horizontal="left" vertical="top" wrapText="1"/>
    </xf>
    <xf numFmtId="0" fontId="40" fillId="0" borderId="0" xfId="0" applyFont="1" applyAlignment="1">
      <alignment horizontal="left" vertical="top" wrapText="1"/>
    </xf>
    <xf numFmtId="0" fontId="40" fillId="0" borderId="30" xfId="0" applyFont="1" applyBorder="1" applyAlignment="1">
      <alignment horizontal="left" vertical="top" wrapText="1"/>
    </xf>
    <xf numFmtId="0" fontId="40" fillId="0" borderId="31" xfId="0" applyFont="1" applyBorder="1" applyAlignment="1">
      <alignment horizontal="left" vertical="top" wrapText="1"/>
    </xf>
    <xf numFmtId="0" fontId="8" fillId="0" borderId="0" xfId="0" applyFont="1" applyAlignment="1">
      <alignment horizontal="left" vertical="top" wrapText="1"/>
    </xf>
    <xf numFmtId="0" fontId="8" fillId="0" borderId="30" xfId="0" applyFont="1" applyBorder="1" applyAlignment="1">
      <alignment horizontal="left" vertical="top" wrapText="1"/>
    </xf>
    <xf numFmtId="0" fontId="8" fillId="0" borderId="23" xfId="0" applyFont="1" applyBorder="1" applyAlignment="1">
      <alignment horizontal="left" vertical="top" wrapText="1"/>
    </xf>
    <xf numFmtId="0" fontId="8" fillId="0" borderId="24" xfId="0" applyFont="1" applyBorder="1" applyAlignment="1">
      <alignment horizontal="left" vertical="top" wrapText="1"/>
    </xf>
    <xf numFmtId="0" fontId="0" fillId="0" borderId="2" xfId="0" applyBorder="1"/>
    <xf numFmtId="0" fontId="0" fillId="0" borderId="3" xfId="0" applyBorder="1"/>
    <xf numFmtId="0" fontId="5" fillId="0" borderId="1" xfId="0" quotePrefix="1" applyFont="1" applyBorder="1" applyAlignment="1">
      <alignment horizontal="center" vertical="center"/>
    </xf>
    <xf numFmtId="0" fontId="7" fillId="0" borderId="4" xfId="0" applyFont="1" applyBorder="1" applyAlignment="1">
      <alignment horizontal="center" vertical="center" textRotation="90" wrapText="1"/>
    </xf>
    <xf numFmtId="0" fontId="39" fillId="0" borderId="5" xfId="0" applyFont="1" applyBorder="1" applyAlignment="1">
      <alignment horizontal="center" vertical="center" textRotation="90" wrapText="1"/>
    </xf>
    <xf numFmtId="0" fontId="39" fillId="0" borderId="6" xfId="0" applyFont="1" applyBorder="1" applyAlignment="1">
      <alignment horizontal="center" vertical="center" textRotation="90" wrapText="1"/>
    </xf>
    <xf numFmtId="0" fontId="6" fillId="0" borderId="0" xfId="1" applyFont="1"/>
    <xf numFmtId="164" fontId="5" fillId="0" borderId="52" xfId="0" applyNumberFormat="1" applyFont="1" applyBorder="1" applyAlignment="1">
      <alignment horizontal="center" wrapText="1"/>
    </xf>
    <xf numFmtId="0" fontId="0" fillId="0" borderId="19" xfId="0" applyBorder="1" applyAlignment="1">
      <alignment horizontal="center"/>
    </xf>
    <xf numFmtId="0" fontId="0" fillId="0" borderId="53" xfId="0" applyBorder="1" applyAlignment="1">
      <alignment horizontal="center"/>
    </xf>
    <xf numFmtId="164" fontId="5" fillId="0" borderId="19" xfId="0" applyNumberFormat="1" applyFont="1" applyBorder="1" applyAlignment="1">
      <alignment horizontal="center" wrapText="1"/>
    </xf>
    <xf numFmtId="0" fontId="11" fillId="0" borderId="0" xfId="1" applyFont="1" applyAlignment="1">
      <alignment horizontal="left" wrapText="1"/>
    </xf>
    <xf numFmtId="0" fontId="0" fillId="0" borderId="0" xfId="0" applyAlignment="1">
      <alignment horizontal="left" wrapText="1"/>
    </xf>
    <xf numFmtId="0" fontId="5" fillId="0" borderId="52" xfId="0" applyFont="1" applyBorder="1" applyAlignment="1">
      <alignment horizontal="center"/>
    </xf>
    <xf numFmtId="0" fontId="15" fillId="0" borderId="19" xfId="0" applyFont="1" applyBorder="1" applyAlignment="1">
      <alignment horizontal="center"/>
    </xf>
    <xf numFmtId="0" fontId="15" fillId="0" borderId="53" xfId="0" applyFont="1" applyBorder="1" applyAlignment="1">
      <alignment horizontal="center"/>
    </xf>
    <xf numFmtId="164" fontId="25" fillId="0" borderId="39" xfId="0" applyNumberFormat="1" applyFont="1" applyBorder="1" applyAlignment="1">
      <alignment horizontal="right" vertical="center" indent="1"/>
    </xf>
    <xf numFmtId="0" fontId="27" fillId="0" borderId="37" xfId="0" applyFont="1" applyBorder="1" applyAlignment="1">
      <alignment horizontal="right" vertical="center" indent="1"/>
    </xf>
    <xf numFmtId="0" fontId="8" fillId="0" borderId="0" xfId="0" applyFont="1" applyAlignment="1">
      <alignment horizontal="left" wrapText="1"/>
    </xf>
    <xf numFmtId="168" fontId="31" fillId="3" borderId="4" xfId="4" quotePrefix="1" applyNumberFormat="1" applyFont="1" applyFill="1" applyBorder="1" applyAlignment="1" applyProtection="1">
      <alignment horizontal="right" vertical="top" wrapText="1" indent="1"/>
      <protection locked="0"/>
    </xf>
    <xf numFmtId="0" fontId="16" fillId="0" borderId="80" xfId="0" applyFont="1" applyBorder="1" applyAlignment="1">
      <alignment horizontal="right" vertical="top" indent="1"/>
    </xf>
    <xf numFmtId="168" fontId="31" fillId="0" borderId="19" xfId="4" quotePrefix="1" applyNumberFormat="1" applyFont="1" applyBorder="1" applyAlignment="1" applyProtection="1">
      <alignment horizontal="right" vertical="top" wrapText="1" indent="1"/>
      <protection locked="0"/>
    </xf>
    <xf numFmtId="0" fontId="0" fillId="0" borderId="20" xfId="0" applyBorder="1" applyAlignment="1">
      <alignment horizontal="right" vertical="top" indent="1"/>
    </xf>
    <xf numFmtId="168" fontId="31" fillId="0" borderId="19" xfId="4" quotePrefix="1" applyNumberFormat="1" applyFont="1" applyBorder="1" applyAlignment="1">
      <alignment horizontal="right" vertical="top" wrapText="1" indent="1"/>
    </xf>
    <xf numFmtId="0" fontId="3" fillId="0" borderId="0" xfId="4" applyFont="1"/>
    <xf numFmtId="0" fontId="3" fillId="0" borderId="0" xfId="0" applyFont="1"/>
    <xf numFmtId="0" fontId="33" fillId="0" borderId="0" xfId="4" applyFont="1" applyAlignment="1">
      <alignment wrapText="1"/>
    </xf>
    <xf numFmtId="0" fontId="33" fillId="0" borderId="0" xfId="0" applyFont="1" applyAlignment="1">
      <alignment wrapText="1"/>
    </xf>
    <xf numFmtId="0" fontId="6" fillId="0" borderId="0" xfId="0" applyFont="1" applyFill="1" applyAlignment="1">
      <alignment wrapText="1"/>
    </xf>
    <xf numFmtId="0" fontId="8" fillId="0" borderId="0" xfId="0" applyFont="1" applyFill="1" applyAlignment="1">
      <alignment wrapText="1"/>
    </xf>
    <xf numFmtId="0" fontId="6" fillId="0" borderId="0" xfId="0" applyFont="1" applyFill="1" applyAlignment="1">
      <alignment vertical="top" wrapText="1"/>
    </xf>
    <xf numFmtId="0" fontId="8" fillId="0" borderId="0" xfId="0" applyFont="1" applyFill="1" applyAlignment="1">
      <alignment vertical="top"/>
    </xf>
    <xf numFmtId="0" fontId="8" fillId="0" borderId="0" xfId="0" applyFont="1" applyFill="1"/>
    <xf numFmtId="0" fontId="8" fillId="0" borderId="0" xfId="0" applyFont="1" applyFill="1" applyAlignment="1">
      <alignment vertical="top" wrapText="1"/>
    </xf>
    <xf numFmtId="0" fontId="5" fillId="0" borderId="14" xfId="0" applyFont="1" applyFill="1" applyBorder="1" applyAlignment="1">
      <alignment horizontal="right" wrapText="1"/>
    </xf>
    <xf numFmtId="164" fontId="6" fillId="0" borderId="14" xfId="0" applyNumberFormat="1" applyFont="1" applyFill="1" applyBorder="1" applyAlignment="1">
      <alignment horizontal="right" indent="1"/>
    </xf>
    <xf numFmtId="164" fontId="6" fillId="0" borderId="35" xfId="0" applyNumberFormat="1" applyFont="1" applyFill="1" applyBorder="1" applyAlignment="1">
      <alignment horizontal="right" indent="1"/>
    </xf>
    <xf numFmtId="164" fontId="4" fillId="0" borderId="46" xfId="0" applyNumberFormat="1" applyFont="1" applyFill="1" applyBorder="1" applyAlignment="1">
      <alignment horizontal="right" indent="1"/>
    </xf>
    <xf numFmtId="3" fontId="6" fillId="0" borderId="46" xfId="0" applyNumberFormat="1" applyFont="1" applyFill="1" applyBorder="1" applyAlignment="1">
      <alignment horizontal="right" indent="1"/>
    </xf>
    <xf numFmtId="164" fontId="6" fillId="0" borderId="46" xfId="1" applyNumberFormat="1" applyFont="1" applyFill="1" applyBorder="1" applyAlignment="1">
      <alignment horizontal="left" wrapText="1"/>
    </xf>
    <xf numFmtId="164" fontId="6" fillId="0" borderId="12" xfId="1" applyNumberFormat="1" applyFont="1" applyFill="1" applyBorder="1" applyAlignment="1">
      <alignment horizontal="left" wrapText="1"/>
    </xf>
    <xf numFmtId="0" fontId="6" fillId="0" borderId="0" xfId="0" applyFont="1" applyFill="1"/>
    <xf numFmtId="0" fontId="11" fillId="0" borderId="22" xfId="1" applyFont="1" applyFill="1" applyBorder="1" applyAlignment="1">
      <alignment horizontal="right" wrapText="1"/>
    </xf>
    <xf numFmtId="0" fontId="4" fillId="0" borderId="0" xfId="0" applyFont="1" applyFill="1"/>
    <xf numFmtId="0" fontId="4" fillId="0" borderId="0" xfId="0" applyFont="1" applyFill="1" applyAlignment="1">
      <alignment horizontal="left" wrapText="1"/>
    </xf>
    <xf numFmtId="164" fontId="33" fillId="0" borderId="18" xfId="4" applyNumberFormat="1" applyFont="1" applyFill="1" applyBorder="1" applyAlignment="1" applyProtection="1">
      <alignment horizontal="right" vertical="center" indent="1"/>
      <protection locked="0"/>
    </xf>
    <xf numFmtId="168" fontId="33" fillId="0" borderId="0" xfId="4" quotePrefix="1" applyNumberFormat="1" applyFont="1" applyFill="1" applyAlignment="1">
      <alignment vertical="center" wrapText="1"/>
    </xf>
  </cellXfs>
  <cellStyles count="6">
    <cellStyle name="Komma 2" xfId="5" xr:uid="{00000000-0005-0000-0000-000000000000}"/>
    <cellStyle name="Link" xfId="3" builtinId="8"/>
    <cellStyle name="Prozent" xfId="2" builtinId="5"/>
    <cellStyle name="Standard" xfId="0" builtinId="0"/>
    <cellStyle name="Standard 2" xfId="1" xr:uid="{00000000-0005-0000-0000-000004000000}"/>
    <cellStyle name="Standard 3" xfId="4" xr:uid="{00000000-0005-0000-0000-000005000000}"/>
  </cellStyles>
  <dxfs count="0"/>
  <tableStyles count="0" defaultTableStyle="TableStyleMedium9" defaultPivotStyle="PivotStyleLight16"/>
  <colors>
    <mruColors>
      <color rgb="FFAAD7FF"/>
      <color rgb="FFC6EFCE"/>
      <color rgb="FFE6B8B7"/>
      <color rgb="FFC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2021%20Rechnung%20Botschaft/Tabellen/06%20Bericht%20der%20Regierung/3.0%20Frei%20verf&#252;gbares%20EK.xlsx" TargetMode="External"/><Relationship Id="rId1" Type="http://schemas.openxmlformats.org/officeDocument/2006/relationships/externalLinkPath" Target="/DFG/Department_Docs/2021%20Rechnung%20Botschaft/Tabellen/06%20Bericht%20der%20Regierung/3.0%20Frei%20verf&#252;gbares%20E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gr.ch/DFG/Department_Docs/Archiv%202021%20Budget%20Botschaft/Tabellen/6%20Bericht%20der%20Regierung/6.2.2%20Personalaufw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ilanz"/>
      <sheetName val="Parameter"/>
      <sheetName val="Funktion"/>
      <sheetName val="Archiv Grunddaten"/>
    </sheetNames>
    <sheetDataSet>
      <sheetData sheetId="0" refreshError="1"/>
      <sheetData sheetId="1" refreshError="1">
        <row r="2">
          <cell r="B2">
            <v>1</v>
          </cell>
        </row>
        <row r="3">
          <cell r="B3">
            <v>2021</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ucktabelle Personalaufwand"/>
      <sheetName val="Drucktabelle FP Richtwert Nr. 6"/>
      <sheetName val="Parameter"/>
      <sheetName val="Funktion"/>
      <sheetName val="manuelle Rechnung für Antragszi"/>
    </sheetNames>
    <sheetDataSet>
      <sheetData sheetId="0" refreshError="1"/>
      <sheetData sheetId="1" refreshError="1"/>
      <sheetData sheetId="2">
        <row r="3">
          <cell r="B3">
            <v>2021</v>
          </cell>
        </row>
      </sheetData>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gr.ch/DE/institutionen/verwaltung/dfg/ds/dokumentation/Rechnungen%20ab%202014/jahresrechnung_2022_interaktiv.pdf" TargetMode="External"/><Relationship Id="rId2" Type="http://schemas.openxmlformats.org/officeDocument/2006/relationships/hyperlink" Target="https://www.gr.ch/DE/institutionen/verwaltung/dfg/ds/dokumentation/rechnungen/2021-2030/Seiten/Rechnung-2023.aspx" TargetMode="External"/><Relationship Id="rId1" Type="http://schemas.openxmlformats.org/officeDocument/2006/relationships/hyperlink" Target="https://www.gr.ch/DE/institutionen/verwaltung/dfg/ds/dokumentation/Rechnungen%20ab%202014/Jahresrechnung%202021.pdf" TargetMode="External"/><Relationship Id="rId6" Type="http://schemas.openxmlformats.org/officeDocument/2006/relationships/printerSettings" Target="../printerSettings/printerSettings7.bin"/><Relationship Id="rId5" Type="http://schemas.openxmlformats.org/officeDocument/2006/relationships/hyperlink" Target="https://www.gr.ch/DE/institutionen/verwaltung/dfg/ds/dokumentation/rechnungen/2021-2030/Seiten/Rechnung-2025.aspx" TargetMode="External"/><Relationship Id="rId4" Type="http://schemas.openxmlformats.org/officeDocument/2006/relationships/hyperlink" Target="https://www.gr.ch/DE/institutionen/verwaltung/dfg/ds/dokumentation/rechnungen/2021-2030/Seiten/Rechnung-2024.aspx"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5"/>
  <sheetViews>
    <sheetView showGridLines="0" view="pageLayout" zoomScale="150" zoomScaleNormal="145" zoomScaleSheetLayoutView="100" zoomScalePageLayoutView="150" workbookViewId="0">
      <pane ySplit="4140"/>
      <selection activeCell="A2" sqref="A2"/>
      <selection pane="bottomLeft" activeCell="A2" sqref="A2"/>
    </sheetView>
    <sheetView tabSelected="1" view="pageBreakPreview" zoomScale="118" zoomScaleNormal="100" zoomScaleSheetLayoutView="115" workbookViewId="1">
      <pane ySplit="4" topLeftCell="A5" activePane="bottomLeft" state="frozen"/>
      <selection pane="bottomLeft" activeCell="A44" sqref="A44:Q44"/>
    </sheetView>
  </sheetViews>
  <sheetFormatPr baseColWidth="10" defaultColWidth="11.453125" defaultRowHeight="13" x14ac:dyDescent="0.3"/>
  <cols>
    <col min="1" max="1" width="7" style="2" customWidth="1"/>
    <col min="2" max="4" width="8.08984375" style="2" customWidth="1"/>
    <col min="5" max="8" width="12.36328125" style="2" customWidth="1"/>
    <col min="9" max="9" width="12.54296875" style="2" customWidth="1"/>
    <col min="10" max="11" width="11.54296875" style="2" customWidth="1"/>
    <col min="12" max="12" width="9.36328125" style="2" customWidth="1"/>
    <col min="13" max="13" width="9" style="2" customWidth="1"/>
    <col min="14" max="14" width="10.54296875" style="2" customWidth="1"/>
    <col min="15" max="15" width="11.36328125" style="2" customWidth="1"/>
    <col min="16" max="16" width="11.453125" style="2" customWidth="1"/>
    <col min="17" max="17" width="38.90625" style="2" customWidth="1"/>
    <col min="18" max="16384" width="11.453125" style="2"/>
  </cols>
  <sheetData>
    <row r="1" spans="1:18" ht="15.5" x14ac:dyDescent="0.35">
      <c r="A1" s="1" t="s">
        <v>5</v>
      </c>
    </row>
    <row r="2" spans="1:18" ht="12.75" customHeight="1" x14ac:dyDescent="0.3">
      <c r="A2" s="2" t="s">
        <v>294</v>
      </c>
    </row>
    <row r="3" spans="1:18" x14ac:dyDescent="0.3">
      <c r="N3" s="524" t="s">
        <v>0</v>
      </c>
      <c r="O3" s="525"/>
    </row>
    <row r="4" spans="1:18" ht="26.25" customHeight="1" x14ac:dyDescent="0.3">
      <c r="A4" s="274" t="s">
        <v>4</v>
      </c>
      <c r="B4" s="51" t="s">
        <v>74</v>
      </c>
      <c r="C4" s="52" t="s">
        <v>75</v>
      </c>
      <c r="D4" s="53" t="s">
        <v>93</v>
      </c>
      <c r="E4" s="51" t="s">
        <v>76</v>
      </c>
      <c r="F4" s="52" t="s">
        <v>77</v>
      </c>
      <c r="G4" s="52" t="s">
        <v>94</v>
      </c>
      <c r="H4" s="52" t="s">
        <v>95</v>
      </c>
      <c r="I4" s="53" t="s">
        <v>96</v>
      </c>
      <c r="J4" s="51" t="s">
        <v>97</v>
      </c>
      <c r="K4" s="53" t="s">
        <v>98</v>
      </c>
      <c r="L4" s="11" t="s">
        <v>155</v>
      </c>
      <c r="M4" s="51" t="s">
        <v>156</v>
      </c>
      <c r="N4" s="52" t="s">
        <v>157</v>
      </c>
      <c r="O4" s="53" t="s">
        <v>158</v>
      </c>
      <c r="P4" s="134" t="s">
        <v>159</v>
      </c>
    </row>
    <row r="5" spans="1:18" s="4" customFormat="1" ht="17.25" customHeight="1" x14ac:dyDescent="0.3">
      <c r="A5" s="219">
        <v>1997</v>
      </c>
      <c r="B5" s="223">
        <v>1760.9</v>
      </c>
      <c r="C5" s="224">
        <v>1755.8</v>
      </c>
      <c r="D5" s="225">
        <f t="shared" ref="D5:D26" si="0">C5-B5</f>
        <v>-5.1000000000001364</v>
      </c>
      <c r="E5" s="223">
        <v>347.7</v>
      </c>
      <c r="F5" s="224">
        <v>164.5</v>
      </c>
      <c r="G5" s="224">
        <f>E5-F5</f>
        <v>183.2</v>
      </c>
      <c r="H5" s="224">
        <v>160.89999999999998</v>
      </c>
      <c r="I5" s="225">
        <f>J5-H5</f>
        <v>-40.999999999999972</v>
      </c>
      <c r="J5" s="223">
        <v>119.9</v>
      </c>
      <c r="K5" s="226">
        <v>0.745</v>
      </c>
      <c r="L5" s="227">
        <f>1650.28-248.461-61.934</f>
        <v>1339.885</v>
      </c>
      <c r="M5" s="223">
        <v>584.96141</v>
      </c>
      <c r="N5" s="224">
        <v>251.37727100000001</v>
      </c>
      <c r="O5" s="225">
        <v>-39.040731000000001</v>
      </c>
      <c r="P5" s="228">
        <v>131</v>
      </c>
      <c r="Q5" s="31"/>
      <c r="R5" s="31"/>
    </row>
    <row r="6" spans="1:18" s="4" customFormat="1" ht="17.25" customHeight="1" x14ac:dyDescent="0.3">
      <c r="A6" s="220">
        <v>1998</v>
      </c>
      <c r="B6" s="229">
        <v>1930.4</v>
      </c>
      <c r="C6" s="230">
        <v>1921.5</v>
      </c>
      <c r="D6" s="231">
        <f t="shared" si="0"/>
        <v>-8.9000000000000909</v>
      </c>
      <c r="E6" s="229">
        <v>410.2</v>
      </c>
      <c r="F6" s="230">
        <v>222.5</v>
      </c>
      <c r="G6" s="230">
        <f t="shared" ref="G6:G26" si="1">E6-F6</f>
        <v>187.7</v>
      </c>
      <c r="H6" s="230">
        <v>167</v>
      </c>
      <c r="I6" s="231">
        <f t="shared" ref="I6:I12" si="2">J6-H6</f>
        <v>-34.800000000000011</v>
      </c>
      <c r="J6" s="229">
        <v>132.19999999999999</v>
      </c>
      <c r="K6" s="232">
        <v>0.79200000000000004</v>
      </c>
      <c r="L6" s="233">
        <f>1854.131-366.639-110.972</f>
        <v>1376.5200000000002</v>
      </c>
      <c r="M6" s="229">
        <v>749.71997499999998</v>
      </c>
      <c r="N6" s="230">
        <v>305.006957</v>
      </c>
      <c r="O6" s="231">
        <v>-6.0885449999999999</v>
      </c>
      <c r="P6" s="234">
        <v>113.2</v>
      </c>
      <c r="Q6" s="31"/>
      <c r="R6" s="31"/>
    </row>
    <row r="7" spans="1:18" s="4" customFormat="1" ht="17.25" customHeight="1" x14ac:dyDescent="0.3">
      <c r="A7" s="220">
        <v>1999</v>
      </c>
      <c r="B7" s="229">
        <v>1881</v>
      </c>
      <c r="C7" s="230">
        <v>1865.3</v>
      </c>
      <c r="D7" s="231">
        <f t="shared" si="0"/>
        <v>-15.700000000000045</v>
      </c>
      <c r="E7" s="229">
        <v>360.74099999999999</v>
      </c>
      <c r="F7" s="230">
        <v>202.18700000000001</v>
      </c>
      <c r="G7" s="230">
        <f t="shared" si="1"/>
        <v>158.55399999999997</v>
      </c>
      <c r="H7" s="230">
        <v>166.9</v>
      </c>
      <c r="I7" s="231">
        <f t="shared" si="2"/>
        <v>-54.5</v>
      </c>
      <c r="J7" s="229">
        <v>112.4</v>
      </c>
      <c r="K7" s="232">
        <v>0.67400000000000004</v>
      </c>
      <c r="L7" s="233">
        <v>1379.8</v>
      </c>
      <c r="M7" s="229">
        <v>790.03623400000004</v>
      </c>
      <c r="N7" s="230">
        <v>559.88204499999995</v>
      </c>
      <c r="O7" s="231">
        <v>49.487036000000003</v>
      </c>
      <c r="P7" s="234">
        <v>97.5</v>
      </c>
      <c r="Q7" s="31"/>
      <c r="R7" s="31"/>
    </row>
    <row r="8" spans="1:18" s="4" customFormat="1" ht="17.25" customHeight="1" x14ac:dyDescent="0.3">
      <c r="A8" s="221">
        <v>2000</v>
      </c>
      <c r="B8" s="235">
        <v>1892.4</v>
      </c>
      <c r="C8" s="236">
        <v>1879.5</v>
      </c>
      <c r="D8" s="237">
        <f t="shared" si="0"/>
        <v>-12.900000000000091</v>
      </c>
      <c r="E8" s="235">
        <v>359.6</v>
      </c>
      <c r="F8" s="236">
        <v>221.5</v>
      </c>
      <c r="G8" s="236">
        <f t="shared" si="1"/>
        <v>138.10000000000002</v>
      </c>
      <c r="H8" s="236">
        <v>150.5</v>
      </c>
      <c r="I8" s="237">
        <f t="shared" si="2"/>
        <v>-17.800000000000011</v>
      </c>
      <c r="J8" s="235">
        <v>132.69999999999999</v>
      </c>
      <c r="K8" s="238">
        <v>0.88200000000000001</v>
      </c>
      <c r="L8" s="239">
        <f>1348.8+6.6</f>
        <v>1355.3999999999999</v>
      </c>
      <c r="M8" s="235">
        <v>818.12139300000001</v>
      </c>
      <c r="N8" s="236">
        <v>565.61642800000004</v>
      </c>
      <c r="O8" s="237">
        <v>75.352024999999998</v>
      </c>
      <c r="P8" s="240">
        <v>84.6</v>
      </c>
      <c r="Q8" s="31"/>
      <c r="R8" s="31"/>
    </row>
    <row r="9" spans="1:18" s="4" customFormat="1" ht="17.25" customHeight="1" x14ac:dyDescent="0.3">
      <c r="A9" s="219">
        <v>2001</v>
      </c>
      <c r="B9" s="223">
        <v>1995.4</v>
      </c>
      <c r="C9" s="224">
        <v>1988.2</v>
      </c>
      <c r="D9" s="225">
        <f t="shared" si="0"/>
        <v>-7.2000000000000455</v>
      </c>
      <c r="E9" s="223">
        <v>333.5</v>
      </c>
      <c r="F9" s="224">
        <v>208.9</v>
      </c>
      <c r="G9" s="224">
        <f t="shared" si="1"/>
        <v>124.6</v>
      </c>
      <c r="H9" s="224">
        <v>145.06200000000001</v>
      </c>
      <c r="I9" s="225">
        <f t="shared" si="2"/>
        <v>0.25699999999997658</v>
      </c>
      <c r="J9" s="223">
        <v>145.31899999999999</v>
      </c>
      <c r="K9" s="226">
        <v>1.002</v>
      </c>
      <c r="L9" s="241">
        <f>1411.6+7.6</f>
        <v>1419.1999999999998</v>
      </c>
      <c r="M9" s="223">
        <v>822.79860399999995</v>
      </c>
      <c r="N9" s="224">
        <v>545.52622499999995</v>
      </c>
      <c r="O9" s="225">
        <v>80.333203999999995</v>
      </c>
      <c r="P9" s="228">
        <v>77.3</v>
      </c>
      <c r="Q9" s="31"/>
      <c r="R9" s="31"/>
    </row>
    <row r="10" spans="1:18" s="4" customFormat="1" ht="17.25" customHeight="1" x14ac:dyDescent="0.3">
      <c r="A10" s="220">
        <v>2002</v>
      </c>
      <c r="B10" s="229">
        <v>2064.4</v>
      </c>
      <c r="C10" s="230">
        <v>2043</v>
      </c>
      <c r="D10" s="231">
        <f t="shared" si="0"/>
        <v>-21.400000000000091</v>
      </c>
      <c r="E10" s="229">
        <v>387.2</v>
      </c>
      <c r="F10" s="230">
        <v>239.7</v>
      </c>
      <c r="G10" s="230">
        <f t="shared" si="1"/>
        <v>147.5</v>
      </c>
      <c r="H10" s="230">
        <v>153.80000000000001</v>
      </c>
      <c r="I10" s="231">
        <f t="shared" si="2"/>
        <v>-38.200000000000017</v>
      </c>
      <c r="J10" s="229">
        <v>115.6</v>
      </c>
      <c r="K10" s="232">
        <v>0.752</v>
      </c>
      <c r="L10" s="233">
        <f>1513.8+8.1</f>
        <v>1521.8999999999999</v>
      </c>
      <c r="M10" s="229">
        <v>896.29847400000006</v>
      </c>
      <c r="N10" s="230">
        <v>578.14542500000005</v>
      </c>
      <c r="O10" s="231">
        <v>116.77009099999999</v>
      </c>
      <c r="P10" s="234">
        <v>56</v>
      </c>
      <c r="Q10" s="31"/>
      <c r="R10" s="31"/>
    </row>
    <row r="11" spans="1:18" s="4" customFormat="1" ht="17.25" customHeight="1" x14ac:dyDescent="0.3">
      <c r="A11" s="220">
        <v>2003</v>
      </c>
      <c r="B11" s="229">
        <v>2105.6</v>
      </c>
      <c r="C11" s="230">
        <v>2064.1</v>
      </c>
      <c r="D11" s="231">
        <f t="shared" si="0"/>
        <v>-41.5</v>
      </c>
      <c r="E11" s="229">
        <v>404.8</v>
      </c>
      <c r="F11" s="230">
        <v>249.3</v>
      </c>
      <c r="G11" s="230">
        <f t="shared" si="1"/>
        <v>155.5</v>
      </c>
      <c r="H11" s="230">
        <v>155.4</v>
      </c>
      <c r="I11" s="231">
        <f t="shared" si="2"/>
        <v>-72.948000000000008</v>
      </c>
      <c r="J11" s="229">
        <v>82.451999999999998</v>
      </c>
      <c r="K11" s="232">
        <v>0.53</v>
      </c>
      <c r="L11" s="233">
        <f>1532.805</f>
        <v>1532.8050000000001</v>
      </c>
      <c r="M11" s="229">
        <v>949.43263930000001</v>
      </c>
      <c r="N11" s="230">
        <v>647.92883900000004</v>
      </c>
      <c r="O11" s="231">
        <v>185.96333799999999</v>
      </c>
      <c r="P11" s="234">
        <v>14.5</v>
      </c>
      <c r="Q11" s="31"/>
      <c r="R11" s="31"/>
    </row>
    <row r="12" spans="1:18" s="4" customFormat="1" ht="17.25" customHeight="1" x14ac:dyDescent="0.3">
      <c r="A12" s="221">
        <v>2004</v>
      </c>
      <c r="B12" s="235">
        <v>2118.5</v>
      </c>
      <c r="C12" s="236">
        <v>2138.8000000000002</v>
      </c>
      <c r="D12" s="237">
        <f t="shared" si="0"/>
        <v>20.300000000000182</v>
      </c>
      <c r="E12" s="235">
        <v>404.18799999999999</v>
      </c>
      <c r="F12" s="236">
        <v>256.149</v>
      </c>
      <c r="G12" s="236">
        <f t="shared" si="1"/>
        <v>148.03899999999999</v>
      </c>
      <c r="H12" s="236">
        <v>148</v>
      </c>
      <c r="I12" s="237">
        <f t="shared" si="2"/>
        <v>27.435000000000002</v>
      </c>
      <c r="J12" s="235">
        <v>175.435</v>
      </c>
      <c r="K12" s="238">
        <v>1.1850000000000001</v>
      </c>
      <c r="L12" s="239">
        <f>1519.9+0.1</f>
        <v>1520</v>
      </c>
      <c r="M12" s="235">
        <v>913.948983</v>
      </c>
      <c r="N12" s="236">
        <v>620.86309700000004</v>
      </c>
      <c r="O12" s="237">
        <v>159.380144</v>
      </c>
      <c r="P12" s="240">
        <v>34.799999999999997</v>
      </c>
      <c r="Q12" s="31"/>
      <c r="R12" s="31"/>
    </row>
    <row r="13" spans="1:18" s="4" customFormat="1" ht="17.25" customHeight="1" x14ac:dyDescent="0.3">
      <c r="A13" s="219">
        <v>2005</v>
      </c>
      <c r="B13" s="223">
        <v>2758.1</v>
      </c>
      <c r="C13" s="224">
        <v>2838.8</v>
      </c>
      <c r="D13" s="225">
        <f t="shared" si="0"/>
        <v>80.700000000000273</v>
      </c>
      <c r="E13" s="223">
        <v>757</v>
      </c>
      <c r="F13" s="224">
        <v>227.5</v>
      </c>
      <c r="G13" s="224">
        <f t="shared" si="1"/>
        <v>529.5</v>
      </c>
      <c r="H13" s="224">
        <v>147.09999999999997</v>
      </c>
      <c r="I13" s="225">
        <v>100.7</v>
      </c>
      <c r="J13" s="223">
        <v>248.9</v>
      </c>
      <c r="K13" s="226">
        <v>1.679</v>
      </c>
      <c r="L13" s="241">
        <f>1538.2+381.3</f>
        <v>1919.5</v>
      </c>
      <c r="M13" s="223">
        <v>914.38362600000005</v>
      </c>
      <c r="N13" s="224">
        <v>438.00208600000002</v>
      </c>
      <c r="O13" s="225">
        <v>-75.493926999999999</v>
      </c>
      <c r="P13" s="228">
        <v>115.5</v>
      </c>
      <c r="Q13" s="31"/>
      <c r="R13" s="31"/>
    </row>
    <row r="14" spans="1:18" s="4" customFormat="1" ht="17.25" customHeight="1" x14ac:dyDescent="0.3">
      <c r="A14" s="220">
        <v>2006</v>
      </c>
      <c r="B14" s="229">
        <v>2211.1999999999998</v>
      </c>
      <c r="C14" s="230">
        <v>2568.3000000000002</v>
      </c>
      <c r="D14" s="231">
        <f t="shared" si="0"/>
        <v>357.10000000000036</v>
      </c>
      <c r="E14" s="229">
        <v>374.2</v>
      </c>
      <c r="F14" s="230">
        <v>247.2</v>
      </c>
      <c r="G14" s="230">
        <f t="shared" si="1"/>
        <v>127</v>
      </c>
      <c r="H14" s="230">
        <v>166.8</v>
      </c>
      <c r="I14" s="231">
        <v>157.30000000000001</v>
      </c>
      <c r="J14" s="229">
        <v>324.3</v>
      </c>
      <c r="K14" s="232">
        <v>1.9419999999999999</v>
      </c>
      <c r="L14" s="233">
        <v>1575.9</v>
      </c>
      <c r="M14" s="229">
        <v>929.97330399999998</v>
      </c>
      <c r="N14" s="230">
        <v>8.4587959999999995</v>
      </c>
      <c r="O14" s="231">
        <v>-475.18838899999997</v>
      </c>
      <c r="P14" s="234">
        <v>472.6</v>
      </c>
      <c r="Q14" s="31"/>
      <c r="R14" s="31"/>
    </row>
    <row r="15" spans="1:18" s="4" customFormat="1" ht="17.25" customHeight="1" x14ac:dyDescent="0.3">
      <c r="A15" s="220">
        <v>2007</v>
      </c>
      <c r="B15" s="229">
        <v>2334.1999999999998</v>
      </c>
      <c r="C15" s="230">
        <v>2384.3000000000002</v>
      </c>
      <c r="D15" s="231">
        <f t="shared" si="0"/>
        <v>50.100000000000364</v>
      </c>
      <c r="E15" s="229">
        <v>368.09407299999998</v>
      </c>
      <c r="F15" s="230">
        <v>146.64420699999999</v>
      </c>
      <c r="G15" s="230">
        <f t="shared" si="1"/>
        <v>221.44986599999999</v>
      </c>
      <c r="H15" s="230">
        <v>162.28399999999999</v>
      </c>
      <c r="I15" s="231">
        <v>122.8</v>
      </c>
      <c r="J15" s="229">
        <v>307.8</v>
      </c>
      <c r="K15" s="232">
        <v>1.6639999999999999</v>
      </c>
      <c r="L15" s="233">
        <v>1670.5050000000001</v>
      </c>
      <c r="M15" s="229">
        <v>889.38352399999997</v>
      </c>
      <c r="N15" s="230">
        <v>-111.06697200000001</v>
      </c>
      <c r="O15" s="231">
        <v>-595.34652200000005</v>
      </c>
      <c r="P15" s="234">
        <v>522.70000000000005</v>
      </c>
      <c r="Q15" s="31"/>
      <c r="R15" s="31"/>
    </row>
    <row r="16" spans="1:18" s="4" customFormat="1" ht="17.25" customHeight="1" x14ac:dyDescent="0.3">
      <c r="A16" s="221">
        <v>2008</v>
      </c>
      <c r="B16" s="235">
        <v>2408</v>
      </c>
      <c r="C16" s="236">
        <v>2569.4</v>
      </c>
      <c r="D16" s="237">
        <f t="shared" si="0"/>
        <v>161.40000000000009</v>
      </c>
      <c r="E16" s="235">
        <v>382.8</v>
      </c>
      <c r="F16" s="236">
        <v>187.1</v>
      </c>
      <c r="G16" s="236">
        <f t="shared" si="1"/>
        <v>195.70000000000002</v>
      </c>
      <c r="H16" s="236">
        <v>187.39999999999998</v>
      </c>
      <c r="I16" s="237">
        <v>184.6</v>
      </c>
      <c r="J16" s="235">
        <v>380.3</v>
      </c>
      <c r="K16" s="238">
        <v>1.9430000000000001</v>
      </c>
      <c r="L16" s="242">
        <v>1835.1</v>
      </c>
      <c r="M16" s="235">
        <v>774.70543099999998</v>
      </c>
      <c r="N16" s="236">
        <v>-292.415888</v>
      </c>
      <c r="O16" s="237">
        <v>-785.34431400000005</v>
      </c>
      <c r="P16" s="240">
        <v>684.1</v>
      </c>
      <c r="Q16" s="31"/>
      <c r="R16" s="31"/>
    </row>
    <row r="17" spans="1:18" s="4" customFormat="1" ht="17.25" customHeight="1" x14ac:dyDescent="0.3">
      <c r="A17" s="219">
        <v>2009</v>
      </c>
      <c r="B17" s="223">
        <v>2374.7150000000001</v>
      </c>
      <c r="C17" s="224">
        <v>2687.2570000000001</v>
      </c>
      <c r="D17" s="225">
        <f t="shared" si="0"/>
        <v>312.54199999999992</v>
      </c>
      <c r="E17" s="223">
        <v>400.8</v>
      </c>
      <c r="F17" s="224">
        <v>223.8</v>
      </c>
      <c r="G17" s="224">
        <f t="shared" si="1"/>
        <v>177</v>
      </c>
      <c r="H17" s="224">
        <v>187.9</v>
      </c>
      <c r="I17" s="225">
        <v>112.8</v>
      </c>
      <c r="J17" s="223">
        <v>310.5</v>
      </c>
      <c r="K17" s="226">
        <v>1.57</v>
      </c>
      <c r="L17" s="243">
        <f>1845.1+9.9+4.3</f>
        <v>1859.3</v>
      </c>
      <c r="M17" s="223">
        <v>708.12746200000004</v>
      </c>
      <c r="N17" s="224">
        <v>-607.75611600000002</v>
      </c>
      <c r="O17" s="225">
        <v>-1083.3142760000001</v>
      </c>
      <c r="P17" s="228">
        <v>996.7</v>
      </c>
      <c r="Q17" s="31"/>
      <c r="R17" s="31"/>
    </row>
    <row r="18" spans="1:18" s="4" customFormat="1" ht="17.25" customHeight="1" x14ac:dyDescent="0.3">
      <c r="A18" s="220">
        <v>2010</v>
      </c>
      <c r="B18" s="229">
        <v>2397.8530000000001</v>
      </c>
      <c r="C18" s="230">
        <v>2517.3389999999999</v>
      </c>
      <c r="D18" s="231">
        <f t="shared" si="0"/>
        <v>119.48599999999988</v>
      </c>
      <c r="E18" s="229">
        <v>437.5</v>
      </c>
      <c r="F18" s="230">
        <v>220.2</v>
      </c>
      <c r="G18" s="230">
        <f t="shared" si="1"/>
        <v>217.3</v>
      </c>
      <c r="H18" s="230">
        <v>205.3</v>
      </c>
      <c r="I18" s="231">
        <v>112.8</v>
      </c>
      <c r="J18" s="229">
        <v>323.10000000000002</v>
      </c>
      <c r="K18" s="232">
        <v>1.536</v>
      </c>
      <c r="L18" s="233">
        <f>1898.1+3.4+13.4</f>
        <v>1914.9</v>
      </c>
      <c r="M18" s="229">
        <v>717.62398599999995</v>
      </c>
      <c r="N18" s="230">
        <v>-733.67494299999998</v>
      </c>
      <c r="O18" s="231">
        <v>-1212.411762</v>
      </c>
      <c r="P18" s="234">
        <v>1116.0999999999999</v>
      </c>
      <c r="Q18" s="31"/>
      <c r="R18" s="31"/>
    </row>
    <row r="19" spans="1:18" s="4" customFormat="1" ht="17.25" customHeight="1" x14ac:dyDescent="0.3">
      <c r="A19" s="220">
        <v>2011</v>
      </c>
      <c r="B19" s="229">
        <v>2841.3</v>
      </c>
      <c r="C19" s="230">
        <v>2686.3</v>
      </c>
      <c r="D19" s="231">
        <f t="shared" si="0"/>
        <v>-155</v>
      </c>
      <c r="E19" s="229">
        <v>417.3</v>
      </c>
      <c r="F19" s="230">
        <v>213.6</v>
      </c>
      <c r="G19" s="230">
        <f t="shared" si="1"/>
        <v>203.70000000000002</v>
      </c>
      <c r="H19" s="230">
        <v>196</v>
      </c>
      <c r="I19" s="231">
        <v>99</v>
      </c>
      <c r="J19" s="229">
        <v>294.89999999999998</v>
      </c>
      <c r="K19" s="232">
        <v>1.5049999999999999</v>
      </c>
      <c r="L19" s="233">
        <f>1861.1+9.4+4.2</f>
        <v>1874.7</v>
      </c>
      <c r="M19" s="229">
        <v>652.40246200000001</v>
      </c>
      <c r="N19" s="230">
        <v>-830.86321799999996</v>
      </c>
      <c r="O19" s="231">
        <v>-1318.0559720000001</v>
      </c>
      <c r="P19" s="234">
        <v>1001.1</v>
      </c>
      <c r="Q19" s="31"/>
      <c r="R19" s="31"/>
    </row>
    <row r="20" spans="1:18" s="4" customFormat="1" ht="17.25" customHeight="1" x14ac:dyDescent="0.3">
      <c r="A20" s="221">
        <v>2012</v>
      </c>
      <c r="B20" s="235">
        <v>2483.1</v>
      </c>
      <c r="C20" s="236">
        <v>2531.9</v>
      </c>
      <c r="D20" s="237">
        <f t="shared" si="0"/>
        <v>48.800000000000182</v>
      </c>
      <c r="E20" s="235">
        <v>466.8</v>
      </c>
      <c r="F20" s="236">
        <v>192.4</v>
      </c>
      <c r="G20" s="236">
        <f t="shared" si="1"/>
        <v>274.39999999999998</v>
      </c>
      <c r="H20" s="236">
        <v>174.58799999999997</v>
      </c>
      <c r="I20" s="237">
        <v>14.6</v>
      </c>
      <c r="J20" s="235">
        <v>189.2</v>
      </c>
      <c r="K20" s="244">
        <v>1.0840000000000001</v>
      </c>
      <c r="L20" s="239">
        <f>1971.6+96.9+5+2.2</f>
        <v>2075.6999999999998</v>
      </c>
      <c r="M20" s="235">
        <v>562.57491900000002</v>
      </c>
      <c r="N20" s="236">
        <v>-750.35526900000002</v>
      </c>
      <c r="O20" s="237">
        <v>-1335.2202609999999</v>
      </c>
      <c r="P20" s="240">
        <v>1049.9000000000001</v>
      </c>
      <c r="Q20" s="31"/>
      <c r="R20" s="31"/>
    </row>
    <row r="21" spans="1:18" s="4" customFormat="1" ht="17.25" customHeight="1" x14ac:dyDescent="0.3">
      <c r="A21" s="219">
        <v>2013</v>
      </c>
      <c r="B21" s="223">
        <v>2489.0940000000001</v>
      </c>
      <c r="C21" s="224">
        <v>2455.5459999999998</v>
      </c>
      <c r="D21" s="225">
        <f t="shared" si="0"/>
        <v>-33.548000000000229</v>
      </c>
      <c r="E21" s="223">
        <v>373.2</v>
      </c>
      <c r="F21" s="224">
        <v>212.4</v>
      </c>
      <c r="G21" s="224">
        <f t="shared" si="1"/>
        <v>160.79999999999998</v>
      </c>
      <c r="H21" s="224">
        <v>159.184</v>
      </c>
      <c r="I21" s="245">
        <f>J21-G21</f>
        <v>17.600000000000023</v>
      </c>
      <c r="J21" s="223">
        <v>178.4</v>
      </c>
      <c r="K21" s="246">
        <v>1.1100000000000001</v>
      </c>
      <c r="L21" s="241">
        <v>1883.3659329999998</v>
      </c>
      <c r="M21" s="223">
        <v>607.02587400000004</v>
      </c>
      <c r="N21" s="224">
        <v>-1655.5131369999999</v>
      </c>
      <c r="O21" s="225">
        <v>-2155.5651619999999</v>
      </c>
      <c r="P21" s="228">
        <v>2688.9</v>
      </c>
      <c r="Q21" s="31"/>
      <c r="R21" s="31"/>
    </row>
    <row r="22" spans="1:18" s="4" customFormat="1" ht="17.25" customHeight="1" x14ac:dyDescent="0.3">
      <c r="A22" s="220">
        <v>2014</v>
      </c>
      <c r="B22" s="229">
        <v>2511.1</v>
      </c>
      <c r="C22" s="230">
        <v>2566.3000000000002</v>
      </c>
      <c r="D22" s="231">
        <f t="shared" si="0"/>
        <v>55.200000000000273</v>
      </c>
      <c r="E22" s="229">
        <v>378.9</v>
      </c>
      <c r="F22" s="230">
        <v>250.9</v>
      </c>
      <c r="G22" s="230">
        <f t="shared" si="1"/>
        <v>127.99999999999997</v>
      </c>
      <c r="H22" s="230">
        <v>122.61799999999999</v>
      </c>
      <c r="I22" s="231">
        <f t="shared" ref="I22:I27" si="3">J22-G22</f>
        <v>50.30000000000004</v>
      </c>
      <c r="J22" s="229">
        <v>178.3</v>
      </c>
      <c r="K22" s="232">
        <v>1.393</v>
      </c>
      <c r="L22" s="233">
        <v>1893.4087169999993</v>
      </c>
      <c r="M22" s="229">
        <v>638.30799999999999</v>
      </c>
      <c r="N22" s="230">
        <v>-1709.353611</v>
      </c>
      <c r="O22" s="231">
        <v>-2209.4246720000001</v>
      </c>
      <c r="P22" s="234">
        <v>2732.4</v>
      </c>
      <c r="Q22" s="31"/>
      <c r="R22" s="31"/>
    </row>
    <row r="23" spans="1:18" s="4" customFormat="1" ht="17.25" customHeight="1" x14ac:dyDescent="0.3">
      <c r="A23" s="220">
        <v>2015</v>
      </c>
      <c r="B23" s="229">
        <v>2639.2</v>
      </c>
      <c r="C23" s="230">
        <v>2655.9</v>
      </c>
      <c r="D23" s="231">
        <f t="shared" si="0"/>
        <v>16.700000000000273</v>
      </c>
      <c r="E23" s="229">
        <v>415.7</v>
      </c>
      <c r="F23" s="230">
        <v>252.4</v>
      </c>
      <c r="G23" s="230">
        <f t="shared" si="1"/>
        <v>163.29999999999998</v>
      </c>
      <c r="H23" s="230">
        <v>151.52300000000002</v>
      </c>
      <c r="I23" s="231">
        <f t="shared" si="3"/>
        <v>48.500000000000028</v>
      </c>
      <c r="J23" s="229">
        <v>211.8</v>
      </c>
      <c r="K23" s="232">
        <v>1.2969999999999999</v>
      </c>
      <c r="L23" s="233">
        <v>1923.1227699999995</v>
      </c>
      <c r="M23" s="229">
        <v>820.98024299999997</v>
      </c>
      <c r="N23" s="230">
        <v>-1307.4835330000001</v>
      </c>
      <c r="O23" s="231">
        <v>-1808.0353809999999</v>
      </c>
      <c r="P23" s="234">
        <v>2324.6</v>
      </c>
      <c r="Q23" s="31"/>
      <c r="R23" s="31"/>
    </row>
    <row r="24" spans="1:18" s="4" customFormat="1" ht="17.25" customHeight="1" x14ac:dyDescent="0.3">
      <c r="A24" s="221">
        <v>2016</v>
      </c>
      <c r="B24" s="235">
        <v>2445.1999999999998</v>
      </c>
      <c r="C24" s="236">
        <v>2393.6999999999998</v>
      </c>
      <c r="D24" s="237">
        <f t="shared" si="0"/>
        <v>-51.5</v>
      </c>
      <c r="E24" s="235">
        <v>355.9</v>
      </c>
      <c r="F24" s="236">
        <v>148.69999999999999</v>
      </c>
      <c r="G24" s="236">
        <f t="shared" si="1"/>
        <v>207.2</v>
      </c>
      <c r="H24" s="236">
        <v>194.92999999999998</v>
      </c>
      <c r="I24" s="237">
        <f t="shared" si="3"/>
        <v>-24</v>
      </c>
      <c r="J24" s="235">
        <v>183.2</v>
      </c>
      <c r="K24" s="244">
        <v>0.88400000000000001</v>
      </c>
      <c r="L24" s="239">
        <v>1945.4049659999998</v>
      </c>
      <c r="M24" s="235">
        <v>926.07426299999997</v>
      </c>
      <c r="N24" s="236">
        <v>-1263.7936870000001</v>
      </c>
      <c r="O24" s="237">
        <v>-1769.953129</v>
      </c>
      <c r="P24" s="240">
        <v>2298.1999999999998</v>
      </c>
      <c r="Q24" s="31"/>
      <c r="R24" s="31"/>
    </row>
    <row r="25" spans="1:18" s="4" customFormat="1" ht="17.25" customHeight="1" x14ac:dyDescent="0.3">
      <c r="A25" s="222">
        <v>2017</v>
      </c>
      <c r="B25" s="247">
        <v>2391.1</v>
      </c>
      <c r="C25" s="248">
        <v>2519.9</v>
      </c>
      <c r="D25" s="249">
        <f t="shared" si="0"/>
        <v>128.80000000000018</v>
      </c>
      <c r="E25" s="247">
        <v>368.09399999999999</v>
      </c>
      <c r="F25" s="248">
        <v>146.64400000000001</v>
      </c>
      <c r="G25" s="248">
        <f t="shared" si="1"/>
        <v>221.45</v>
      </c>
      <c r="H25" s="248">
        <v>126.4</v>
      </c>
      <c r="I25" s="249">
        <f t="shared" si="3"/>
        <v>23.425232500000305</v>
      </c>
      <c r="J25" s="247">
        <v>244.87523250000029</v>
      </c>
      <c r="K25" s="250">
        <v>1.1060000000000001</v>
      </c>
      <c r="L25" s="241">
        <v>1985.3803160000002</v>
      </c>
      <c r="M25" s="247">
        <v>1044.382413</v>
      </c>
      <c r="N25" s="248">
        <v>-1332.5567149999999</v>
      </c>
      <c r="O25" s="249">
        <v>-1842.1928969999999</v>
      </c>
      <c r="P25" s="251">
        <v>2400.1999999999998</v>
      </c>
      <c r="Q25" s="31"/>
      <c r="R25" s="31"/>
    </row>
    <row r="26" spans="1:18" s="4" customFormat="1" ht="17.25" customHeight="1" x14ac:dyDescent="0.3">
      <c r="A26" s="220">
        <v>2018</v>
      </c>
      <c r="B26" s="229">
        <v>2512.4</v>
      </c>
      <c r="C26" s="230">
        <v>2515.1</v>
      </c>
      <c r="D26" s="231">
        <f t="shared" si="0"/>
        <v>2.6999999999998181</v>
      </c>
      <c r="E26" s="229">
        <v>384.72899999999998</v>
      </c>
      <c r="F26" s="230">
        <v>145.066</v>
      </c>
      <c r="G26" s="230">
        <f t="shared" si="1"/>
        <v>239.66299999999998</v>
      </c>
      <c r="H26" s="230">
        <v>134.6</v>
      </c>
      <c r="I26" s="231">
        <f t="shared" si="3"/>
        <v>46.337000000000018</v>
      </c>
      <c r="J26" s="229">
        <v>286</v>
      </c>
      <c r="K26" s="252">
        <v>1.1930000000000001</v>
      </c>
      <c r="L26" s="233">
        <v>1996.984285</v>
      </c>
      <c r="M26" s="229">
        <v>1120.9676039999999</v>
      </c>
      <c r="N26" s="230">
        <v>-1357.3382999999999</v>
      </c>
      <c r="O26" s="231">
        <v>-1867.7804430000001</v>
      </c>
      <c r="P26" s="234">
        <v>2476.6</v>
      </c>
      <c r="Q26" s="31"/>
      <c r="R26" s="31"/>
    </row>
    <row r="27" spans="1:18" s="4" customFormat="1" ht="17.25" customHeight="1" x14ac:dyDescent="0.3">
      <c r="A27" s="220">
        <v>2019</v>
      </c>
      <c r="B27" s="229">
        <v>2456.8000000000002</v>
      </c>
      <c r="C27" s="230">
        <v>2510.4</v>
      </c>
      <c r="D27" s="231">
        <f t="shared" ref="D27:D30" si="4">C27-B27</f>
        <v>53.599999999999909</v>
      </c>
      <c r="E27" s="229">
        <v>381.15800000000002</v>
      </c>
      <c r="F27" s="230">
        <v>154.08500000000001</v>
      </c>
      <c r="G27" s="230">
        <f t="shared" ref="G27:G30" si="5">E27-F27</f>
        <v>227.07300000000001</v>
      </c>
      <c r="H27" s="230">
        <v>120.6</v>
      </c>
      <c r="I27" s="231">
        <f t="shared" si="3"/>
        <v>73.227000000000004</v>
      </c>
      <c r="J27" s="229">
        <v>300.3</v>
      </c>
      <c r="K27" s="252">
        <v>1.323</v>
      </c>
      <c r="L27" s="233">
        <v>2006.4808209999992</v>
      </c>
      <c r="M27" s="229">
        <v>1176.8288660000001</v>
      </c>
      <c r="N27" s="230">
        <v>-1363.8843859999999</v>
      </c>
      <c r="O27" s="231">
        <v>-1873.9612629999999</v>
      </c>
      <c r="P27" s="234">
        <v>2527.3000000000002</v>
      </c>
      <c r="Q27" s="31"/>
      <c r="R27" s="31"/>
    </row>
    <row r="28" spans="1:18" s="4" customFormat="1" ht="17.25" customHeight="1" x14ac:dyDescent="0.3">
      <c r="A28" s="221">
        <v>2020</v>
      </c>
      <c r="B28" s="235">
        <v>2543.7654996000001</v>
      </c>
      <c r="C28" s="236">
        <v>2625.6546429999999</v>
      </c>
      <c r="D28" s="237">
        <f t="shared" si="4"/>
        <v>81.889143399999739</v>
      </c>
      <c r="E28" s="235">
        <v>339.44033300000001</v>
      </c>
      <c r="F28" s="236">
        <v>138.950684</v>
      </c>
      <c r="G28" s="236">
        <f t="shared" si="5"/>
        <v>200.48964900000001</v>
      </c>
      <c r="H28" s="236">
        <v>123.123559</v>
      </c>
      <c r="I28" s="237">
        <f t="shared" ref="I28" si="6">J28-G28</f>
        <v>70.331679999999977</v>
      </c>
      <c r="J28" s="235">
        <v>270.82132899999999</v>
      </c>
      <c r="K28" s="244">
        <f t="shared" ref="K28:K33" si="7">J28/G28</f>
        <v>1.3507995567392108</v>
      </c>
      <c r="L28" s="242">
        <v>2044.9514699999993</v>
      </c>
      <c r="M28" s="235">
        <v>1139.068356</v>
      </c>
      <c r="N28" s="236">
        <v>-1469.3167390000001</v>
      </c>
      <c r="O28" s="237">
        <v>-1979.729411</v>
      </c>
      <c r="P28" s="240">
        <v>2644.3208460000001</v>
      </c>
      <c r="Q28" s="31"/>
      <c r="R28" s="31"/>
    </row>
    <row r="29" spans="1:18" s="4" customFormat="1" ht="17.25" customHeight="1" x14ac:dyDescent="0.3">
      <c r="A29" s="222">
        <v>2021</v>
      </c>
      <c r="B29" s="247">
        <v>2780.2687089999999</v>
      </c>
      <c r="C29" s="248">
        <v>2914.5693620000002</v>
      </c>
      <c r="D29" s="249">
        <f t="shared" si="4"/>
        <v>134.30065300000024</v>
      </c>
      <c r="E29" s="247">
        <v>322.73647199999999</v>
      </c>
      <c r="F29" s="248">
        <v>133.33924099999999</v>
      </c>
      <c r="G29" s="248">
        <f t="shared" si="5"/>
        <v>189.397231</v>
      </c>
      <c r="H29" s="248">
        <v>138.00014300000001</v>
      </c>
      <c r="I29" s="249">
        <f>J29-G29</f>
        <v>142.66704100000001</v>
      </c>
      <c r="J29" s="247">
        <v>332.06427200000002</v>
      </c>
      <c r="K29" s="250">
        <f t="shared" si="7"/>
        <v>1.7532688849078264</v>
      </c>
      <c r="L29" s="227">
        <v>2272.3110000000001</v>
      </c>
      <c r="M29" s="247">
        <v>1292.071555</v>
      </c>
      <c r="N29" s="248">
        <v>-1664.984134</v>
      </c>
      <c r="O29" s="249">
        <v>-2175.4223699999998</v>
      </c>
      <c r="P29" s="251">
        <v>2841.7159999999999</v>
      </c>
      <c r="Q29" s="31"/>
      <c r="R29" s="31"/>
    </row>
    <row r="30" spans="1:18" s="4" customFormat="1" ht="17.25" customHeight="1" x14ac:dyDescent="0.3">
      <c r="A30" s="220">
        <v>2022</v>
      </c>
      <c r="B30" s="229">
        <v>2594.0394634999998</v>
      </c>
      <c r="C30" s="230">
        <v>2799.6245775000002</v>
      </c>
      <c r="D30" s="231">
        <f t="shared" si="4"/>
        <v>205.58511400000043</v>
      </c>
      <c r="E30" s="229">
        <v>338.41760843999998</v>
      </c>
      <c r="F30" s="230">
        <v>142.05029918</v>
      </c>
      <c r="G30" s="230">
        <f t="shared" si="5"/>
        <v>196.36730925999998</v>
      </c>
      <c r="H30" s="230">
        <v>133.41311400000001</v>
      </c>
      <c r="I30" s="231">
        <f>J30-G30</f>
        <v>222.49857900000003</v>
      </c>
      <c r="J30" s="229">
        <v>418.86588826000002</v>
      </c>
      <c r="K30" s="252">
        <f t="shared" si="7"/>
        <v>2.1330734216325231</v>
      </c>
      <c r="L30" s="233">
        <v>2052.8493843000001</v>
      </c>
      <c r="M30" s="229">
        <v>1131.9733911200001</v>
      </c>
      <c r="N30" s="230">
        <v>-1927.8077874000001</v>
      </c>
      <c r="O30" s="231">
        <v>-2434.7954343699998</v>
      </c>
      <c r="P30" s="234">
        <v>3097.2564483900001</v>
      </c>
      <c r="Q30" s="31"/>
      <c r="R30" s="31"/>
    </row>
    <row r="31" spans="1:18" s="4" customFormat="1" ht="17.25" customHeight="1" x14ac:dyDescent="0.3">
      <c r="A31" s="220">
        <v>2023</v>
      </c>
      <c r="B31" s="229">
        <v>2616.2485664000001</v>
      </c>
      <c r="C31" s="230">
        <v>2778.6143848800002</v>
      </c>
      <c r="D31" s="231">
        <f>C31-B31</f>
        <v>162.36581848000014</v>
      </c>
      <c r="E31" s="229">
        <v>389.80268125999999</v>
      </c>
      <c r="F31" s="230">
        <v>147.34053703999999</v>
      </c>
      <c r="G31" s="230">
        <f>E31-F31</f>
        <v>242.46214422</v>
      </c>
      <c r="H31" s="230">
        <v>148.99970300000001</v>
      </c>
      <c r="I31" s="231">
        <f>J31-G31</f>
        <v>104.61867921000001</v>
      </c>
      <c r="J31" s="229">
        <v>347.08082343000001</v>
      </c>
      <c r="K31" s="252">
        <f t="shared" si="7"/>
        <v>1.4314845913227321</v>
      </c>
      <c r="L31" s="233">
        <v>2190.3794042000004</v>
      </c>
      <c r="M31" s="229">
        <v>1161.3177136100001</v>
      </c>
      <c r="N31" s="230">
        <v>-2054.33940024</v>
      </c>
      <c r="O31" s="231">
        <v>-2563.57783066</v>
      </c>
      <c r="P31" s="234">
        <v>3243.0914132399998</v>
      </c>
      <c r="Q31" s="31"/>
      <c r="R31" s="31"/>
    </row>
    <row r="32" spans="1:18" s="4" customFormat="1" ht="17.25" customHeight="1" x14ac:dyDescent="0.3">
      <c r="A32" s="221">
        <v>2024</v>
      </c>
      <c r="B32" s="235">
        <v>2822.3466250000001</v>
      </c>
      <c r="C32" s="236">
        <v>2910.0440779999999</v>
      </c>
      <c r="D32" s="237">
        <f>C32-B32</f>
        <v>87.697452999999769</v>
      </c>
      <c r="E32" s="235">
        <v>420.27150499999999</v>
      </c>
      <c r="F32" s="236">
        <v>161.378263</v>
      </c>
      <c r="G32" s="236">
        <f>E32-F32</f>
        <v>258.89324199999999</v>
      </c>
      <c r="H32" s="236">
        <v>157.95061430999999</v>
      </c>
      <c r="I32" s="237">
        <f t="shared" ref="I32" si="8">J32-G32</f>
        <v>58.076381870000205</v>
      </c>
      <c r="J32" s="235">
        <v>316.96962387000019</v>
      </c>
      <c r="K32" s="244">
        <f t="shared" si="7"/>
        <v>1.2243256000865415</v>
      </c>
      <c r="L32" s="242">
        <v>2338.6782671199999</v>
      </c>
      <c r="M32" s="235">
        <v>1108.46192075</v>
      </c>
      <c r="N32" s="236">
        <v>-2110.8014830000002</v>
      </c>
      <c r="O32" s="237">
        <v>-2621.0394889999998</v>
      </c>
      <c r="P32" s="240">
        <v>3319.418756</v>
      </c>
      <c r="Q32" s="31"/>
      <c r="R32" s="31"/>
    </row>
    <row r="33" spans="1:19" s="4" customFormat="1" ht="17.25" customHeight="1" x14ac:dyDescent="0.25">
      <c r="A33" s="428">
        <v>2025</v>
      </c>
      <c r="B33" s="253">
        <v>3316.1032245199999</v>
      </c>
      <c r="C33" s="253">
        <v>3097.5660169299999</v>
      </c>
      <c r="D33" s="253">
        <f>C33-B33</f>
        <v>-218.53720758999998</v>
      </c>
      <c r="E33" s="253">
        <v>457.91218894999997</v>
      </c>
      <c r="F33" s="253">
        <v>156.89787064000001</v>
      </c>
      <c r="G33" s="253">
        <f>E33-F33</f>
        <v>301.01431830999996</v>
      </c>
      <c r="H33" s="253">
        <v>45.359020350000002</v>
      </c>
      <c r="I33" s="430">
        <f>J33-G33</f>
        <v>-60.347593010000111</v>
      </c>
      <c r="J33" s="431">
        <v>240.66672529999985</v>
      </c>
      <c r="K33" s="432">
        <f t="shared" si="7"/>
        <v>0.79951919447283215</v>
      </c>
      <c r="L33" s="433">
        <v>2445.5410309600002</v>
      </c>
      <c r="M33" s="433">
        <v>1240.8738686500001</v>
      </c>
      <c r="N33" s="454">
        <v>-2044.2132585700001</v>
      </c>
      <c r="O33" s="430">
        <v>-2562.95439278</v>
      </c>
      <c r="P33" s="455">
        <v>3308.2846600399998</v>
      </c>
      <c r="Q33" s="31"/>
      <c r="R33" s="31"/>
    </row>
    <row r="34" spans="1:19" s="4" customFormat="1" ht="3.75" customHeight="1" x14ac:dyDescent="0.25">
      <c r="A34" s="110"/>
      <c r="B34" s="45"/>
      <c r="C34" s="45"/>
      <c r="D34" s="45"/>
      <c r="E34" s="45"/>
      <c r="F34" s="45"/>
      <c r="G34" s="45"/>
      <c r="H34" s="45"/>
      <c r="I34" s="45"/>
      <c r="J34" s="45"/>
      <c r="K34" s="111"/>
      <c r="L34" s="46"/>
      <c r="M34" s="46"/>
      <c r="N34" s="46"/>
      <c r="O34" s="46"/>
      <c r="P34" s="46"/>
      <c r="Q34" s="31"/>
      <c r="R34" s="31"/>
    </row>
    <row r="35" spans="1:19" ht="15" customHeight="1" x14ac:dyDescent="0.3">
      <c r="A35" s="526" t="s">
        <v>329</v>
      </c>
      <c r="B35" s="521"/>
      <c r="C35" s="521"/>
      <c r="D35" s="521"/>
      <c r="E35" s="521"/>
      <c r="F35" s="521"/>
      <c r="G35" s="521"/>
      <c r="H35" s="521"/>
      <c r="I35" s="521"/>
      <c r="J35" s="521"/>
      <c r="K35" s="521"/>
      <c r="L35" s="521"/>
      <c r="M35" s="521"/>
      <c r="N35" s="521"/>
      <c r="O35" s="521"/>
      <c r="P35" s="521"/>
      <c r="Q35" s="521"/>
    </row>
    <row r="36" spans="1:19" ht="15" customHeight="1" x14ac:dyDescent="0.3">
      <c r="A36" s="520" t="s">
        <v>330</v>
      </c>
      <c r="B36" s="521"/>
      <c r="C36" s="521"/>
      <c r="D36" s="521"/>
      <c r="E36" s="521"/>
      <c r="F36" s="521"/>
      <c r="G36" s="521"/>
      <c r="H36" s="521"/>
      <c r="I36" s="521"/>
      <c r="J36" s="521"/>
      <c r="K36" s="521"/>
      <c r="L36" s="521"/>
      <c r="M36" s="521"/>
      <c r="N36" s="521"/>
      <c r="O36" s="521"/>
      <c r="P36" s="521"/>
      <c r="Q36" s="521"/>
    </row>
    <row r="37" spans="1:19" ht="27" customHeight="1" x14ac:dyDescent="0.3">
      <c r="A37" s="626" t="s">
        <v>374</v>
      </c>
      <c r="B37" s="627"/>
      <c r="C37" s="627"/>
      <c r="D37" s="627"/>
      <c r="E37" s="627"/>
      <c r="F37" s="627"/>
      <c r="G37" s="627"/>
      <c r="H37" s="627"/>
      <c r="I37" s="627"/>
      <c r="J37" s="627"/>
      <c r="K37" s="627"/>
      <c r="L37" s="627"/>
      <c r="M37" s="627"/>
      <c r="N37" s="627"/>
      <c r="O37" s="627"/>
      <c r="P37" s="627"/>
      <c r="Q37" s="627"/>
    </row>
    <row r="38" spans="1:19" ht="15" customHeight="1" x14ac:dyDescent="0.3">
      <c r="A38" s="520" t="s">
        <v>331</v>
      </c>
      <c r="B38" s="521"/>
      <c r="C38" s="521"/>
      <c r="D38" s="521"/>
      <c r="E38" s="521"/>
      <c r="F38" s="521"/>
      <c r="G38" s="521"/>
      <c r="H38" s="521"/>
      <c r="I38" s="521"/>
      <c r="J38" s="521"/>
      <c r="K38" s="521"/>
      <c r="L38" s="521"/>
      <c r="M38" s="521"/>
      <c r="N38" s="521"/>
      <c r="O38" s="521"/>
      <c r="P38" s="521"/>
      <c r="Q38" s="521"/>
    </row>
    <row r="39" spans="1:19" ht="30" customHeight="1" x14ac:dyDescent="0.3">
      <c r="A39" s="520" t="s">
        <v>332</v>
      </c>
      <c r="B39" s="521"/>
      <c r="C39" s="521"/>
      <c r="D39" s="521"/>
      <c r="E39" s="521"/>
      <c r="F39" s="521"/>
      <c r="G39" s="521"/>
      <c r="H39" s="521"/>
      <c r="I39" s="521"/>
      <c r="J39" s="521"/>
      <c r="K39" s="521"/>
      <c r="L39" s="521"/>
      <c r="M39" s="521"/>
      <c r="N39" s="521"/>
      <c r="O39" s="521"/>
      <c r="P39" s="521"/>
      <c r="Q39" s="521"/>
      <c r="R39" s="95"/>
      <c r="S39" s="95"/>
    </row>
    <row r="40" spans="1:19" ht="15" customHeight="1" x14ac:dyDescent="0.3">
      <c r="A40" s="520" t="s">
        <v>333</v>
      </c>
      <c r="B40" s="521"/>
      <c r="C40" s="521"/>
      <c r="D40" s="521"/>
      <c r="E40" s="521"/>
      <c r="F40" s="521"/>
      <c r="G40" s="521"/>
      <c r="H40" s="521"/>
      <c r="I40" s="521"/>
      <c r="J40" s="521"/>
      <c r="K40" s="521"/>
      <c r="L40" s="521"/>
      <c r="M40" s="521"/>
      <c r="N40" s="521"/>
      <c r="O40" s="521"/>
      <c r="P40" s="521"/>
      <c r="Q40" s="521"/>
    </row>
    <row r="41" spans="1:19" ht="15" customHeight="1" x14ac:dyDescent="0.3">
      <c r="A41" s="520" t="s">
        <v>334</v>
      </c>
      <c r="B41" s="521"/>
      <c r="C41" s="521"/>
      <c r="D41" s="521"/>
      <c r="E41" s="521"/>
      <c r="F41" s="521"/>
      <c r="G41" s="521"/>
      <c r="H41" s="521"/>
      <c r="I41" s="521"/>
      <c r="J41" s="521"/>
      <c r="K41" s="521"/>
      <c r="L41" s="521"/>
      <c r="M41" s="521"/>
      <c r="N41" s="521"/>
      <c r="O41" s="521"/>
      <c r="P41" s="521"/>
      <c r="Q41" s="521"/>
    </row>
    <row r="42" spans="1:19" ht="15" customHeight="1" x14ac:dyDescent="0.3">
      <c r="A42" s="520" t="s">
        <v>335</v>
      </c>
      <c r="B42" s="521"/>
      <c r="C42" s="521"/>
      <c r="D42" s="521"/>
      <c r="E42" s="521"/>
      <c r="F42" s="521"/>
      <c r="G42" s="521"/>
      <c r="H42" s="521"/>
      <c r="I42" s="521"/>
      <c r="J42" s="521"/>
      <c r="K42" s="521"/>
      <c r="L42" s="521"/>
      <c r="M42" s="521"/>
      <c r="N42" s="521"/>
      <c r="O42" s="521"/>
      <c r="P42" s="521"/>
      <c r="Q42" s="521"/>
    </row>
    <row r="43" spans="1:19" ht="15" customHeight="1" x14ac:dyDescent="0.3">
      <c r="A43" s="520" t="s">
        <v>336</v>
      </c>
      <c r="B43" s="521"/>
      <c r="C43" s="521"/>
      <c r="D43" s="521"/>
      <c r="E43" s="521"/>
      <c r="F43" s="521"/>
      <c r="G43" s="521"/>
      <c r="H43" s="521"/>
      <c r="I43" s="521"/>
      <c r="J43" s="521"/>
      <c r="K43" s="521"/>
      <c r="L43" s="521"/>
      <c r="M43" s="521"/>
      <c r="N43" s="521"/>
      <c r="O43" s="521"/>
      <c r="P43" s="521"/>
      <c r="Q43" s="521"/>
    </row>
    <row r="44" spans="1:19" ht="15" customHeight="1" x14ac:dyDescent="0.3">
      <c r="A44" s="520" t="s">
        <v>337</v>
      </c>
      <c r="B44" s="521"/>
      <c r="C44" s="521"/>
      <c r="D44" s="521"/>
      <c r="E44" s="521"/>
      <c r="F44" s="521"/>
      <c r="G44" s="521"/>
      <c r="H44" s="521"/>
      <c r="I44" s="521"/>
      <c r="J44" s="521"/>
      <c r="K44" s="521"/>
      <c r="L44" s="521"/>
      <c r="M44" s="521"/>
      <c r="N44" s="521"/>
      <c r="O44" s="521"/>
      <c r="P44" s="521"/>
      <c r="Q44" s="521"/>
    </row>
    <row r="45" spans="1:19" ht="51.75" customHeight="1" x14ac:dyDescent="0.3">
      <c r="A45" s="522" t="s">
        <v>338</v>
      </c>
      <c r="B45" s="523"/>
      <c r="C45" s="523"/>
      <c r="D45" s="523"/>
      <c r="E45" s="523"/>
      <c r="F45" s="523"/>
      <c r="G45" s="523"/>
      <c r="H45" s="523"/>
      <c r="I45" s="523"/>
      <c r="J45" s="523"/>
      <c r="K45" s="523"/>
      <c r="L45" s="523"/>
      <c r="M45" s="523"/>
      <c r="N45" s="523"/>
      <c r="O45" s="523"/>
      <c r="P45" s="523"/>
      <c r="Q45" s="523"/>
      <c r="R45"/>
      <c r="S45"/>
    </row>
  </sheetData>
  <mergeCells count="12">
    <mergeCell ref="N3:O3"/>
    <mergeCell ref="A35:Q35"/>
    <mergeCell ref="A36:Q36"/>
    <mergeCell ref="A37:Q37"/>
    <mergeCell ref="A38:Q38"/>
    <mergeCell ref="A44:Q44"/>
    <mergeCell ref="A45:Q45"/>
    <mergeCell ref="A39:Q39"/>
    <mergeCell ref="A40:Q40"/>
    <mergeCell ref="A41:Q41"/>
    <mergeCell ref="A42:Q42"/>
    <mergeCell ref="A43:Q43"/>
  </mergeCells>
  <pageMargins left="0.19685039370078741" right="0.39370078740157483" top="0.39370078740157483" bottom="0.59055118110236227" header="0.31496062992125984" footer="0.31496062992125984"/>
  <pageSetup paperSize="8" fitToHeight="0" orientation="landscape" r:id="rId1"/>
  <headerFooter>
    <oddFooter>&amp;L&amp;"Arial Narrow,Standard"DFG, 9. April 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4"/>
  <sheetViews>
    <sheetView zoomScale="190" zoomScaleNormal="190" workbookViewId="0"/>
    <sheetView view="pageBreakPreview" zoomScale="103" zoomScaleNormal="100" zoomScaleSheetLayoutView="103" workbookViewId="1">
      <pane ySplit="5" topLeftCell="A34" activePane="bottomLeft" state="frozen"/>
      <selection pane="bottomLeft" activeCell="A45" sqref="A45"/>
    </sheetView>
  </sheetViews>
  <sheetFormatPr baseColWidth="10" defaultColWidth="11.453125" defaultRowHeight="13" x14ac:dyDescent="0.3"/>
  <cols>
    <col min="1" max="1" width="8" style="2" customWidth="1"/>
    <col min="2" max="2" width="8.453125" style="2" bestFit="1" customWidth="1"/>
    <col min="3" max="5" width="8.453125" style="2" customWidth="1"/>
    <col min="6" max="7" width="7.36328125" style="2" customWidth="1"/>
    <col min="8" max="8" width="8.36328125" style="2" customWidth="1"/>
    <col min="9" max="9" width="7.36328125" style="2" customWidth="1"/>
    <col min="10" max="11" width="8.453125" style="2" customWidth="1"/>
    <col min="12" max="13" width="7.36328125" style="2" customWidth="1"/>
    <col min="14" max="16384" width="11.453125" style="2"/>
  </cols>
  <sheetData>
    <row r="1" spans="1:15" ht="15.5" x14ac:dyDescent="0.35">
      <c r="A1" s="1" t="s">
        <v>67</v>
      </c>
    </row>
    <row r="2" spans="1:15" ht="12.75" customHeight="1" x14ac:dyDescent="0.3">
      <c r="A2" s="2" t="s">
        <v>295</v>
      </c>
    </row>
    <row r="3" spans="1:15" ht="13.5" customHeight="1" x14ac:dyDescent="0.3"/>
    <row r="4" spans="1:15" s="5" customFormat="1" ht="15" customHeight="1" x14ac:dyDescent="0.3">
      <c r="A4" s="54"/>
      <c r="B4" s="52">
        <v>3</v>
      </c>
      <c r="C4" s="52">
        <v>30</v>
      </c>
      <c r="D4" s="52">
        <v>31</v>
      </c>
      <c r="E4" s="52">
        <v>36</v>
      </c>
      <c r="F4" s="527" t="s">
        <v>233</v>
      </c>
      <c r="G4" s="528"/>
      <c r="H4" s="528"/>
      <c r="I4" s="528"/>
      <c r="J4" s="52">
        <v>37</v>
      </c>
      <c r="K4" s="52">
        <v>38</v>
      </c>
      <c r="L4" s="527" t="s">
        <v>234</v>
      </c>
      <c r="M4" s="529"/>
    </row>
    <row r="5" spans="1:15" s="108" customFormat="1" ht="40.5" customHeight="1" x14ac:dyDescent="0.25">
      <c r="A5" s="275" t="s">
        <v>4</v>
      </c>
      <c r="B5" s="130" t="s">
        <v>235</v>
      </c>
      <c r="C5" s="130" t="s">
        <v>236</v>
      </c>
      <c r="D5" s="130" t="s">
        <v>237</v>
      </c>
      <c r="E5" s="130" t="s">
        <v>238</v>
      </c>
      <c r="F5" s="130" t="s">
        <v>239</v>
      </c>
      <c r="G5" s="130" t="s">
        <v>240</v>
      </c>
      <c r="H5" s="130" t="s">
        <v>241</v>
      </c>
      <c r="I5" s="130" t="s">
        <v>242</v>
      </c>
      <c r="J5" s="130" t="s">
        <v>243</v>
      </c>
      <c r="K5" s="130" t="s">
        <v>244</v>
      </c>
      <c r="L5" s="130" t="s">
        <v>245</v>
      </c>
      <c r="M5" s="131" t="s">
        <v>246</v>
      </c>
    </row>
    <row r="6" spans="1:15" s="3" customFormat="1" ht="17.25" customHeight="1" x14ac:dyDescent="0.25">
      <c r="A6" s="255">
        <v>1997</v>
      </c>
      <c r="B6" s="224">
        <v>1760.9</v>
      </c>
      <c r="C6" s="224">
        <v>330.8</v>
      </c>
      <c r="D6" s="224">
        <v>235.7</v>
      </c>
      <c r="E6" s="224">
        <f>105.455+7.891+355.269+54.868</f>
        <v>523.48300000000006</v>
      </c>
      <c r="F6" s="224"/>
      <c r="G6" s="224"/>
      <c r="H6" s="224"/>
      <c r="I6" s="224"/>
      <c r="J6" s="224">
        <v>248.5</v>
      </c>
      <c r="K6" s="224">
        <v>-8</v>
      </c>
      <c r="L6" s="224"/>
      <c r="M6" s="259"/>
      <c r="O6" s="45"/>
    </row>
    <row r="7" spans="1:15" s="3" customFormat="1" ht="17.25" customHeight="1" x14ac:dyDescent="0.25">
      <c r="A7" s="256">
        <v>1998</v>
      </c>
      <c r="B7" s="230">
        <v>1930.4</v>
      </c>
      <c r="C7" s="230">
        <v>333.4</v>
      </c>
      <c r="D7" s="230">
        <v>249.6</v>
      </c>
      <c r="E7" s="230">
        <f>371.846+5.772+97.24+68.111+0.127</f>
        <v>543.096</v>
      </c>
      <c r="F7" s="230"/>
      <c r="G7" s="230"/>
      <c r="H7" s="230"/>
      <c r="I7" s="230"/>
      <c r="J7" s="260">
        <v>366.6</v>
      </c>
      <c r="K7" s="260">
        <v>1.1000000000000001</v>
      </c>
      <c r="L7" s="230"/>
      <c r="M7" s="261"/>
      <c r="O7" s="45"/>
    </row>
    <row r="8" spans="1:15" s="3" customFormat="1" ht="17.25" customHeight="1" x14ac:dyDescent="0.25">
      <c r="A8" s="256">
        <v>1999</v>
      </c>
      <c r="B8" s="230">
        <v>1881</v>
      </c>
      <c r="C8" s="230">
        <v>334</v>
      </c>
      <c r="D8" s="230">
        <v>279.7</v>
      </c>
      <c r="E8" s="230">
        <f>95.319+5.841+368.029+67.85+0.1</f>
        <v>537.13900000000001</v>
      </c>
      <c r="F8" s="230"/>
      <c r="G8" s="230"/>
      <c r="H8" s="230"/>
      <c r="I8" s="230"/>
      <c r="J8" s="230">
        <v>380</v>
      </c>
      <c r="K8" s="230"/>
      <c r="L8" s="230"/>
      <c r="M8" s="261"/>
      <c r="O8" s="45"/>
    </row>
    <row r="9" spans="1:15" s="3" customFormat="1" ht="17.25" customHeight="1" x14ac:dyDescent="0.25">
      <c r="A9" s="257">
        <v>2000</v>
      </c>
      <c r="B9" s="236">
        <v>1892.4</v>
      </c>
      <c r="C9" s="236">
        <v>332.9</v>
      </c>
      <c r="D9" s="236">
        <v>267.3</v>
      </c>
      <c r="E9" s="236">
        <f>381.981+5.742+98.927+67.295+0.18+0.46</f>
        <v>554.58500000000004</v>
      </c>
      <c r="F9" s="236"/>
      <c r="G9" s="236"/>
      <c r="H9" s="236"/>
      <c r="I9" s="236"/>
      <c r="J9" s="236">
        <v>371</v>
      </c>
      <c r="K9" s="236"/>
      <c r="L9" s="236"/>
      <c r="M9" s="262"/>
      <c r="O9" s="45"/>
    </row>
    <row r="10" spans="1:15" s="3" customFormat="1" ht="17.25" customHeight="1" x14ac:dyDescent="0.25">
      <c r="A10" s="255">
        <v>2001</v>
      </c>
      <c r="B10" s="224">
        <v>1995.4</v>
      </c>
      <c r="C10" s="224">
        <v>346.8</v>
      </c>
      <c r="D10" s="224">
        <v>284.10233699999998</v>
      </c>
      <c r="E10" s="224">
        <f>120.203719+5.905667+399.19612+68.389-0.0176</f>
        <v>593.67690600000003</v>
      </c>
      <c r="F10" s="224"/>
      <c r="G10" s="224"/>
      <c r="H10" s="224"/>
      <c r="I10" s="224"/>
      <c r="J10" s="224">
        <v>375</v>
      </c>
      <c r="K10" s="224"/>
      <c r="L10" s="224"/>
      <c r="M10" s="259"/>
      <c r="O10" s="45"/>
    </row>
    <row r="11" spans="1:15" s="3" customFormat="1" ht="17.25" customHeight="1" x14ac:dyDescent="0.25">
      <c r="A11" s="256">
        <v>2002</v>
      </c>
      <c r="B11" s="230">
        <v>2064.4</v>
      </c>
      <c r="C11" s="230">
        <v>315.60000000000002</v>
      </c>
      <c r="D11" s="230">
        <v>287.2</v>
      </c>
      <c r="E11" s="230">
        <f>482.822+6.531+127.678+71.008</f>
        <v>688.03899999999999</v>
      </c>
      <c r="F11" s="230"/>
      <c r="G11" s="230"/>
      <c r="H11" s="230"/>
      <c r="I11" s="230"/>
      <c r="J11" s="230">
        <v>395.7</v>
      </c>
      <c r="K11" s="230"/>
      <c r="L11" s="230"/>
      <c r="M11" s="261"/>
      <c r="O11" s="45"/>
    </row>
    <row r="12" spans="1:15" s="3" customFormat="1" ht="17.25" customHeight="1" x14ac:dyDescent="0.25">
      <c r="A12" s="256">
        <v>2003</v>
      </c>
      <c r="B12" s="230">
        <v>2105.6</v>
      </c>
      <c r="C12" s="230">
        <v>313.2</v>
      </c>
      <c r="D12" s="230">
        <v>284.8</v>
      </c>
      <c r="E12" s="230">
        <f>521.258+7.426+107.657+77.895</f>
        <v>714.2360000000001</v>
      </c>
      <c r="F12" s="230"/>
      <c r="G12" s="230"/>
      <c r="H12" s="230"/>
      <c r="I12" s="230"/>
      <c r="J12" s="230">
        <v>411.8</v>
      </c>
      <c r="K12" s="230"/>
      <c r="L12" s="230"/>
      <c r="M12" s="261"/>
      <c r="O12" s="45"/>
    </row>
    <row r="13" spans="1:15" s="3" customFormat="1" ht="17.25" customHeight="1" x14ac:dyDescent="0.25">
      <c r="A13" s="257">
        <v>2004</v>
      </c>
      <c r="B13" s="236">
        <v>2118.5</v>
      </c>
      <c r="C13" s="236">
        <v>312.89999999999998</v>
      </c>
      <c r="D13" s="236">
        <v>290</v>
      </c>
      <c r="E13" s="236">
        <f>115.869+7.374+503.286+79.718+9.998999</f>
        <v>716.24599899999998</v>
      </c>
      <c r="F13" s="236"/>
      <c r="G13" s="236"/>
      <c r="H13" s="236"/>
      <c r="I13" s="236"/>
      <c r="J13" s="236">
        <v>419.4</v>
      </c>
      <c r="K13" s="236">
        <v>29.8</v>
      </c>
      <c r="L13" s="236"/>
      <c r="M13" s="262"/>
      <c r="O13" s="45"/>
    </row>
    <row r="14" spans="1:15" s="3" customFormat="1" ht="17.25" customHeight="1" x14ac:dyDescent="0.25">
      <c r="A14" s="255">
        <v>2005</v>
      </c>
      <c r="B14" s="224">
        <v>2758.1</v>
      </c>
      <c r="C14" s="224">
        <v>315.5</v>
      </c>
      <c r="D14" s="224">
        <v>300</v>
      </c>
      <c r="E14" s="224">
        <f>136.372+7.75+499.409+81.44+78.041</f>
        <v>803.01199999999994</v>
      </c>
      <c r="F14" s="224"/>
      <c r="G14" s="224"/>
      <c r="H14" s="224"/>
      <c r="I14" s="224"/>
      <c r="J14" s="224">
        <v>423.5</v>
      </c>
      <c r="K14" s="224">
        <f>511.2+10</f>
        <v>521.20000000000005</v>
      </c>
      <c r="L14" s="224"/>
      <c r="M14" s="259"/>
      <c r="O14" s="45"/>
    </row>
    <row r="15" spans="1:15" s="3" customFormat="1" ht="17.25" customHeight="1" x14ac:dyDescent="0.25">
      <c r="A15" s="256">
        <v>2006</v>
      </c>
      <c r="B15" s="230">
        <v>2211.1999999999998</v>
      </c>
      <c r="C15" s="230">
        <v>292</v>
      </c>
      <c r="D15" s="230">
        <v>311.3</v>
      </c>
      <c r="E15" s="230">
        <f>530.303+7.685+152.283+95.276+0.0107</f>
        <v>785.55769999999995</v>
      </c>
      <c r="F15" s="230"/>
      <c r="G15" s="230"/>
      <c r="H15" s="230"/>
      <c r="I15" s="230"/>
      <c r="J15" s="230">
        <v>430.1</v>
      </c>
      <c r="K15" s="230"/>
      <c r="L15" s="230"/>
      <c r="M15" s="261"/>
      <c r="O15" s="45"/>
    </row>
    <row r="16" spans="1:15" s="3" customFormat="1" ht="17.25" customHeight="1" x14ac:dyDescent="0.3">
      <c r="A16" s="256">
        <v>2007</v>
      </c>
      <c r="B16" s="230">
        <v>2334.1999999999998</v>
      </c>
      <c r="C16" s="230">
        <v>299.10000000000002</v>
      </c>
      <c r="D16" s="230">
        <v>283.3</v>
      </c>
      <c r="E16" s="230">
        <f>196.141+7.539+592.717+115.343+0.125+0.005</f>
        <v>911.86999999999989</v>
      </c>
      <c r="F16" s="230"/>
      <c r="G16" s="230"/>
      <c r="H16" s="230"/>
      <c r="I16" s="230"/>
      <c r="J16" s="230">
        <v>439</v>
      </c>
      <c r="K16" s="263">
        <f>53.8+56.1</f>
        <v>109.9</v>
      </c>
      <c r="L16" s="230"/>
      <c r="M16" s="261"/>
      <c r="O16" s="45"/>
    </row>
    <row r="17" spans="1:15" s="3" customFormat="1" ht="17.25" customHeight="1" x14ac:dyDescent="0.25">
      <c r="A17" s="257">
        <v>2008</v>
      </c>
      <c r="B17" s="236">
        <v>2408</v>
      </c>
      <c r="C17" s="236">
        <v>318.2</v>
      </c>
      <c r="D17" s="236">
        <v>310.5</v>
      </c>
      <c r="E17" s="236">
        <f>202.184+8.075+670.311+102.866</f>
        <v>983.43600000000004</v>
      </c>
      <c r="F17" s="236"/>
      <c r="G17" s="236"/>
      <c r="H17" s="236"/>
      <c r="I17" s="236"/>
      <c r="J17" s="236">
        <v>358</v>
      </c>
      <c r="K17" s="236">
        <v>14.442</v>
      </c>
      <c r="L17" s="236"/>
      <c r="M17" s="262"/>
      <c r="O17" s="45"/>
    </row>
    <row r="18" spans="1:15" s="3" customFormat="1" ht="17.25" customHeight="1" x14ac:dyDescent="0.25">
      <c r="A18" s="255">
        <v>2009</v>
      </c>
      <c r="B18" s="224">
        <v>2374.6999999999998</v>
      </c>
      <c r="C18" s="224">
        <v>325</v>
      </c>
      <c r="D18" s="264">
        <v>295.8</v>
      </c>
      <c r="E18" s="265">
        <f>153.413+8.326+713.218+99.806</f>
        <v>974.76300000000003</v>
      </c>
      <c r="F18" s="264"/>
      <c r="G18" s="264"/>
      <c r="H18" s="264"/>
      <c r="I18" s="264"/>
      <c r="J18" s="264">
        <v>355.1</v>
      </c>
      <c r="K18" s="265">
        <v>9.0890000000000004</v>
      </c>
      <c r="L18" s="264"/>
      <c r="M18" s="266"/>
    </row>
    <row r="19" spans="1:15" s="3" customFormat="1" ht="17.25" customHeight="1" x14ac:dyDescent="0.25">
      <c r="A19" s="256">
        <v>2010</v>
      </c>
      <c r="B19" s="230">
        <v>2397.9</v>
      </c>
      <c r="C19" s="230">
        <v>333.1</v>
      </c>
      <c r="D19" s="260">
        <v>283.39999999999998</v>
      </c>
      <c r="E19" s="267">
        <f>142.778+9+761.979+117.423+9.611</f>
        <v>1040.7910000000002</v>
      </c>
      <c r="F19" s="260"/>
      <c r="G19" s="260"/>
      <c r="H19" s="267"/>
      <c r="I19" s="260"/>
      <c r="J19" s="260">
        <v>369.8</v>
      </c>
      <c r="K19" s="267">
        <v>3.3809999999999998</v>
      </c>
      <c r="L19" s="260"/>
      <c r="M19" s="268"/>
    </row>
    <row r="20" spans="1:15" s="3" customFormat="1" ht="17.25" customHeight="1" x14ac:dyDescent="0.25">
      <c r="A20" s="256">
        <v>2011</v>
      </c>
      <c r="B20" s="230">
        <v>2841.3</v>
      </c>
      <c r="C20" s="230">
        <v>342.7</v>
      </c>
      <c r="D20" s="260">
        <v>275.2</v>
      </c>
      <c r="E20" s="267">
        <f>103.95+9.86+792.19+121.263</f>
        <v>1027.2629999999999</v>
      </c>
      <c r="F20" s="260"/>
      <c r="G20" s="260"/>
      <c r="H20" s="267"/>
      <c r="I20" s="260"/>
      <c r="J20" s="267">
        <v>376.230999</v>
      </c>
      <c r="K20" s="267">
        <v>263.68700000000001</v>
      </c>
      <c r="L20" s="260"/>
      <c r="M20" s="268"/>
    </row>
    <row r="21" spans="1:15" s="3" customFormat="1" ht="17.25" customHeight="1" x14ac:dyDescent="0.25">
      <c r="A21" s="257">
        <v>2012</v>
      </c>
      <c r="B21" s="236">
        <v>2483.1</v>
      </c>
      <c r="C21" s="236">
        <v>345.1</v>
      </c>
      <c r="D21" s="269">
        <v>299.89999999999998</v>
      </c>
      <c r="E21" s="236">
        <f>139.76+10.076+877.502+102.255</f>
        <v>1129.5929999999998</v>
      </c>
      <c r="F21" s="236"/>
      <c r="G21" s="236"/>
      <c r="H21" s="236"/>
      <c r="I21" s="236"/>
      <c r="J21" s="269">
        <v>388.9</v>
      </c>
      <c r="K21" s="270">
        <v>2.222</v>
      </c>
      <c r="L21" s="236"/>
      <c r="M21" s="262"/>
      <c r="N21" s="45"/>
      <c r="O21" s="45"/>
    </row>
    <row r="22" spans="1:15" s="3" customFormat="1" ht="17.25" customHeight="1" x14ac:dyDescent="0.25">
      <c r="A22" s="255" t="s">
        <v>160</v>
      </c>
      <c r="B22" s="224">
        <v>2489.1</v>
      </c>
      <c r="C22" s="224">
        <v>349.4</v>
      </c>
      <c r="D22" s="264">
        <v>297.5</v>
      </c>
      <c r="E22" s="224">
        <f>SUM(F22:I22)</f>
        <v>1110.5133660000001</v>
      </c>
      <c r="F22" s="224">
        <f>76.752001+13.728528+0.946016</f>
        <v>91.426545000000004</v>
      </c>
      <c r="G22" s="224">
        <v>43.066676000000001</v>
      </c>
      <c r="H22" s="224">
        <v>894.19192699999996</v>
      </c>
      <c r="I22" s="224">
        <f>0.350762+81.477456</f>
        <v>81.828218000000007</v>
      </c>
      <c r="J22" s="264">
        <v>394.1</v>
      </c>
      <c r="K22" s="224">
        <f>SUM(L22:M22)</f>
        <v>102.798</v>
      </c>
      <c r="L22" s="224">
        <v>102.798</v>
      </c>
      <c r="M22" s="259"/>
      <c r="N22" s="6"/>
    </row>
    <row r="23" spans="1:15" s="3" customFormat="1" ht="17.25" customHeight="1" x14ac:dyDescent="0.25">
      <c r="A23" s="256">
        <v>2014</v>
      </c>
      <c r="B23" s="230">
        <v>2511.1</v>
      </c>
      <c r="C23" s="230">
        <v>355.9</v>
      </c>
      <c r="D23" s="230">
        <v>295.10000000000002</v>
      </c>
      <c r="E23" s="230">
        <f t="shared" ref="E23:E28" si="0">SUM(F23:I23)</f>
        <v>1128.940877</v>
      </c>
      <c r="F23" s="230">
        <f>80.119068+14.300161+0.946016</f>
        <v>95.365245000000002</v>
      </c>
      <c r="G23" s="230">
        <v>52.042544999999997</v>
      </c>
      <c r="H23" s="230">
        <v>906.07717600000001</v>
      </c>
      <c r="I23" s="230">
        <f>3.141313+72.314598</f>
        <v>75.455911</v>
      </c>
      <c r="J23" s="230">
        <v>424.6</v>
      </c>
      <c r="K23" s="230">
        <f t="shared" ref="K23:K28" si="1">SUM(L23:M23)</f>
        <v>64.435000000000002</v>
      </c>
      <c r="L23" s="230">
        <v>64.435000000000002</v>
      </c>
      <c r="M23" s="261"/>
    </row>
    <row r="24" spans="1:15" s="3" customFormat="1" ht="17.25" customHeight="1" x14ac:dyDescent="0.25">
      <c r="A24" s="256">
        <v>2015</v>
      </c>
      <c r="B24" s="230">
        <v>2639.2</v>
      </c>
      <c r="C24" s="230">
        <v>358.8</v>
      </c>
      <c r="D24" s="230">
        <v>287.89999999999998</v>
      </c>
      <c r="E24" s="230">
        <f t="shared" si="0"/>
        <v>1145.3556759999999</v>
      </c>
      <c r="F24" s="230">
        <f>80.89827+14.246394+1.106007</f>
        <v>96.250670999999997</v>
      </c>
      <c r="G24" s="230">
        <v>42.616757</v>
      </c>
      <c r="H24" s="230">
        <v>921.21289100000001</v>
      </c>
      <c r="I24" s="230">
        <f>-0.719006+85.994363</f>
        <v>85.275357000000014</v>
      </c>
      <c r="J24" s="230">
        <v>431</v>
      </c>
      <c r="K24" s="230">
        <f t="shared" si="1"/>
        <v>172.346</v>
      </c>
      <c r="L24" s="230">
        <v>92.346000000000004</v>
      </c>
      <c r="M24" s="261">
        <v>80</v>
      </c>
    </row>
    <row r="25" spans="1:15" s="3" customFormat="1" ht="17.25" customHeight="1" x14ac:dyDescent="0.25">
      <c r="A25" s="257">
        <v>2016</v>
      </c>
      <c r="B25" s="236">
        <v>2445.1999999999998</v>
      </c>
      <c r="C25" s="236">
        <v>362.7</v>
      </c>
      <c r="D25" s="236">
        <v>300.39999999999998</v>
      </c>
      <c r="E25" s="236">
        <f t="shared" si="0"/>
        <v>1076.9008180000001</v>
      </c>
      <c r="F25" s="236">
        <f>11.501225+14.305419+1.500007</f>
        <v>27.306650999999999</v>
      </c>
      <c r="G25" s="236">
        <v>65.079342999999994</v>
      </c>
      <c r="H25" s="236">
        <v>866.78064300000005</v>
      </c>
      <c r="I25" s="236">
        <f>0.182213+117.551968</f>
        <v>117.73418100000001</v>
      </c>
      <c r="J25" s="236">
        <v>350.8</v>
      </c>
      <c r="K25" s="236">
        <f t="shared" si="1"/>
        <v>91.486999999999995</v>
      </c>
      <c r="L25" s="236">
        <v>91.486999999999995</v>
      </c>
      <c r="M25" s="262"/>
    </row>
    <row r="26" spans="1:15" s="3" customFormat="1" ht="17.25" customHeight="1" x14ac:dyDescent="0.25">
      <c r="A26" s="258">
        <v>2017</v>
      </c>
      <c r="B26" s="248">
        <v>2391.1</v>
      </c>
      <c r="C26" s="248">
        <v>376.1</v>
      </c>
      <c r="D26" s="248">
        <v>297.39999999999998</v>
      </c>
      <c r="E26" s="248">
        <f t="shared" si="0"/>
        <v>1065.9480679999999</v>
      </c>
      <c r="F26" s="248">
        <f>2.36377+13.150828+1.146015</f>
        <v>16.660613000000001</v>
      </c>
      <c r="G26" s="248">
        <v>80.464607999999998</v>
      </c>
      <c r="H26" s="248">
        <v>862.89634000000001</v>
      </c>
      <c r="I26" s="248">
        <f>-7.973992+113.900499</f>
        <v>105.926507</v>
      </c>
      <c r="J26" s="248">
        <v>360.9</v>
      </c>
      <c r="K26" s="248">
        <f t="shared" si="1"/>
        <v>0.28999999999999998</v>
      </c>
      <c r="L26" s="248">
        <v>0.28999999999999998</v>
      </c>
      <c r="M26" s="271"/>
    </row>
    <row r="27" spans="1:15" s="3" customFormat="1" ht="17.25" customHeight="1" x14ac:dyDescent="0.25">
      <c r="A27" s="256">
        <v>2018</v>
      </c>
      <c r="B27" s="230">
        <v>2512.4</v>
      </c>
      <c r="C27" s="230">
        <v>380.6</v>
      </c>
      <c r="D27" s="230">
        <v>297.3</v>
      </c>
      <c r="E27" s="230">
        <f t="shared" si="0"/>
        <v>1069.198764</v>
      </c>
      <c r="F27" s="230">
        <f>1.735855+13.526539+1.386506</f>
        <v>16.648900000000001</v>
      </c>
      <c r="G27" s="230">
        <v>67.560981999999996</v>
      </c>
      <c r="H27" s="230">
        <v>868.49612100000002</v>
      </c>
      <c r="I27" s="230">
        <f>0.055+116.437761</f>
        <v>116.492761</v>
      </c>
      <c r="J27" s="230">
        <v>364.75270499999999</v>
      </c>
      <c r="K27" s="230">
        <f t="shared" si="1"/>
        <v>134.57900000000001</v>
      </c>
      <c r="L27" s="230">
        <v>44.579000000000001</v>
      </c>
      <c r="M27" s="261">
        <v>90</v>
      </c>
    </row>
    <row r="28" spans="1:15" s="3" customFormat="1" ht="17.25" customHeight="1" x14ac:dyDescent="0.25">
      <c r="A28" s="256">
        <v>2019</v>
      </c>
      <c r="B28" s="230">
        <v>2456.79</v>
      </c>
      <c r="C28" s="230">
        <v>384.75599999999997</v>
      </c>
      <c r="D28" s="230">
        <v>297.16899999999998</v>
      </c>
      <c r="E28" s="230">
        <f t="shared" si="0"/>
        <v>1076.7980930000001</v>
      </c>
      <c r="F28" s="230">
        <f>2.277583+13.441109+1.26009</f>
        <v>16.978782000000002</v>
      </c>
      <c r="G28" s="230">
        <v>58.903759000000001</v>
      </c>
      <c r="H28" s="230">
        <v>887.12916299999995</v>
      </c>
      <c r="I28" s="230">
        <v>113.786389</v>
      </c>
      <c r="J28" s="230">
        <v>356.86599999999999</v>
      </c>
      <c r="K28" s="230">
        <f t="shared" si="1"/>
        <v>80.444000000000003</v>
      </c>
      <c r="L28" s="230">
        <v>80.444000000000003</v>
      </c>
      <c r="M28" s="261"/>
    </row>
    <row r="29" spans="1:15" s="3" customFormat="1" ht="17.25" customHeight="1" x14ac:dyDescent="0.3">
      <c r="A29" s="257">
        <v>2020</v>
      </c>
      <c r="B29" s="236">
        <v>2543.7549960000001</v>
      </c>
      <c r="C29" s="236">
        <v>402.21151500000002</v>
      </c>
      <c r="D29" s="236">
        <v>318.39263899999997</v>
      </c>
      <c r="E29" s="236">
        <f>SUM(F29:I29)</f>
        <v>1128.0607180000002</v>
      </c>
      <c r="F29" s="236">
        <f>1.787265+13.978394+2.52609</f>
        <v>18.291748999999999</v>
      </c>
      <c r="G29" s="236">
        <v>60.722549999999998</v>
      </c>
      <c r="H29" s="236">
        <v>934.26471000000004</v>
      </c>
      <c r="I29" s="236">
        <f>4.129968+110.651741</f>
        <v>114.78170900000001</v>
      </c>
      <c r="J29" s="236">
        <v>369.67685999999998</v>
      </c>
      <c r="K29" s="236">
        <f t="shared" ref="K29" si="2">SUM(L29:M29)</f>
        <v>40.130000000000003</v>
      </c>
      <c r="L29" s="236">
        <v>0.13</v>
      </c>
      <c r="M29" s="262">
        <v>40</v>
      </c>
      <c r="O29" s="457"/>
    </row>
    <row r="30" spans="1:15" s="3" customFormat="1" ht="17.25" customHeight="1" x14ac:dyDescent="0.25">
      <c r="A30" s="258">
        <v>2021</v>
      </c>
      <c r="B30" s="248">
        <v>2780.2687089999999</v>
      </c>
      <c r="C30" s="248">
        <v>406.57536399999998</v>
      </c>
      <c r="D30" s="248">
        <v>326.89455700000002</v>
      </c>
      <c r="E30" s="248">
        <v>1322.7680620000001</v>
      </c>
      <c r="F30" s="248">
        <f>1.573981+14.363396+0.986024</f>
        <v>16.923400999999998</v>
      </c>
      <c r="G30" s="248">
        <v>61.568286999999998</v>
      </c>
      <c r="H30" s="248">
        <v>1134.3761340000001</v>
      </c>
      <c r="I30" s="248">
        <f>-0.091851+109.992091</f>
        <v>109.90024</v>
      </c>
      <c r="J30" s="248">
        <v>378.56676700000003</v>
      </c>
      <c r="K30" s="248">
        <v>67</v>
      </c>
      <c r="L30" s="248"/>
      <c r="M30" s="271">
        <v>67</v>
      </c>
    </row>
    <row r="31" spans="1:15" s="3" customFormat="1" ht="17.25" customHeight="1" x14ac:dyDescent="0.25">
      <c r="A31" s="256">
        <v>2022</v>
      </c>
      <c r="B31" s="230">
        <v>2594.0394634999998</v>
      </c>
      <c r="C31" s="230">
        <v>409.45677697999997</v>
      </c>
      <c r="D31" s="230">
        <v>308.09468465999998</v>
      </c>
      <c r="E31" s="230">
        <v>1127.5144876500001</v>
      </c>
      <c r="F31" s="230">
        <f>4.01554301+14.74503063+0.190008</f>
        <v>18.950581639999999</v>
      </c>
      <c r="G31" s="230">
        <v>61.615036000000003</v>
      </c>
      <c r="H31" s="230">
        <v>932.41748056999995</v>
      </c>
      <c r="I31" s="230">
        <f>-1.62485268+116.15624212</f>
        <v>114.53138944</v>
      </c>
      <c r="J31" s="230">
        <v>370.41933344</v>
      </c>
      <c r="K31" s="230">
        <v>79.712000000000003</v>
      </c>
      <c r="L31" s="230">
        <v>19.712</v>
      </c>
      <c r="M31" s="261">
        <v>60</v>
      </c>
    </row>
    <row r="32" spans="1:15" s="3" customFormat="1" ht="17.25" customHeight="1" x14ac:dyDescent="0.25">
      <c r="A32" s="256">
        <v>2023</v>
      </c>
      <c r="B32" s="230">
        <v>2616.2485664000001</v>
      </c>
      <c r="C32" s="230">
        <v>426.82036779999999</v>
      </c>
      <c r="D32" s="230">
        <v>317.51084317999999</v>
      </c>
      <c r="E32" s="230">
        <v>1209.2655973799999</v>
      </c>
      <c r="F32" s="230">
        <f>2.27914+15.198198+5.544749</f>
        <v>23.022086999999999</v>
      </c>
      <c r="G32" s="230">
        <v>60.679251999999998</v>
      </c>
      <c r="H32" s="230">
        <v>991.376938</v>
      </c>
      <c r="I32" s="230">
        <f>-0.451175+134.638495</f>
        <v>134.18732</v>
      </c>
      <c r="J32" s="230">
        <v>386.52083399999998</v>
      </c>
      <c r="K32" s="230">
        <v>2.4441540000000002</v>
      </c>
      <c r="L32" s="230">
        <v>2.4441540000000002</v>
      </c>
      <c r="M32" s="261"/>
    </row>
    <row r="33" spans="1:16" s="3" customFormat="1" ht="17.25" customHeight="1" x14ac:dyDescent="0.25">
      <c r="A33" s="257">
        <v>2024</v>
      </c>
      <c r="B33" s="236">
        <v>2822.3466250000001</v>
      </c>
      <c r="C33" s="236">
        <v>448.02470832</v>
      </c>
      <c r="D33" s="236">
        <v>343.45971814000001</v>
      </c>
      <c r="E33" s="236">
        <v>1289.15754363</v>
      </c>
      <c r="F33" s="236">
        <f>1.261105+15.979004+0.433146</f>
        <v>17.673255000000001</v>
      </c>
      <c r="G33" s="236">
        <v>69.042934000000002</v>
      </c>
      <c r="H33" s="236">
        <v>1055.44103133</v>
      </c>
      <c r="I33" s="236">
        <f>-0.56793398+147.56825798</f>
        <v>147.00032400000001</v>
      </c>
      <c r="J33" s="236">
        <v>399.08537632000002</v>
      </c>
      <c r="K33" s="236">
        <v>45.254453169999998</v>
      </c>
      <c r="L33" s="236">
        <v>25.254453170000001</v>
      </c>
      <c r="M33" s="262">
        <v>20</v>
      </c>
    </row>
    <row r="34" spans="1:16" s="3" customFormat="1" ht="17.25" customHeight="1" x14ac:dyDescent="0.25">
      <c r="A34" s="273">
        <v>2025</v>
      </c>
      <c r="B34" s="254">
        <v>3316.1032245199999</v>
      </c>
      <c r="C34" s="254">
        <v>457.24237563000003</v>
      </c>
      <c r="D34" s="254">
        <v>342.59071662000002</v>
      </c>
      <c r="E34" s="254">
        <v>1362.0446393</v>
      </c>
      <c r="F34" s="254">
        <f>2.77266262+15.42774254+2.1322359</f>
        <v>20.332641060000004</v>
      </c>
      <c r="G34" s="254">
        <v>70.102638650000003</v>
      </c>
      <c r="H34" s="254">
        <v>1114.2625626399999</v>
      </c>
      <c r="I34" s="254">
        <f>-1.149808+158.49660495</f>
        <v>157.34679695</v>
      </c>
      <c r="J34" s="254">
        <v>408.82226878</v>
      </c>
      <c r="K34" s="254">
        <v>48.740976170000003</v>
      </c>
      <c r="L34" s="254">
        <v>13.74097617</v>
      </c>
      <c r="M34" s="435">
        <v>35</v>
      </c>
    </row>
    <row r="35" spans="1:16" ht="3.75" customHeight="1" x14ac:dyDescent="0.3"/>
    <row r="36" spans="1:16" ht="15" customHeight="1" x14ac:dyDescent="0.3">
      <c r="A36" s="522" t="s">
        <v>339</v>
      </c>
      <c r="B36" s="523"/>
      <c r="C36" s="523"/>
      <c r="D36" s="523"/>
      <c r="E36" s="523"/>
      <c r="F36" s="523"/>
      <c r="G36" s="523"/>
      <c r="H36" s="523"/>
      <c r="I36" s="523"/>
      <c r="J36" s="523"/>
      <c r="K36" s="523"/>
      <c r="L36" s="523"/>
      <c r="M36" s="523"/>
      <c r="N36" s="456"/>
      <c r="O36" s="456"/>
      <c r="P36" s="456"/>
    </row>
    <row r="37" spans="1:16" ht="41.25" customHeight="1" x14ac:dyDescent="0.3">
      <c r="A37" s="522" t="s">
        <v>340</v>
      </c>
      <c r="B37" s="523"/>
      <c r="C37" s="523"/>
      <c r="D37" s="523"/>
      <c r="E37" s="523"/>
      <c r="F37" s="523"/>
      <c r="G37" s="523"/>
      <c r="H37" s="523"/>
      <c r="I37" s="523"/>
      <c r="J37" s="523"/>
      <c r="K37" s="523"/>
      <c r="L37" s="523"/>
      <c r="M37" s="523"/>
      <c r="N37" s="530"/>
      <c r="O37" s="530"/>
      <c r="P37" s="530"/>
    </row>
    <row r="38" spans="1:16" ht="15" customHeight="1" x14ac:dyDescent="0.3">
      <c r="A38" s="520" t="s">
        <v>341</v>
      </c>
      <c r="B38" s="521"/>
      <c r="C38" s="521"/>
      <c r="D38" s="521"/>
      <c r="E38" s="521"/>
      <c r="F38" s="521"/>
      <c r="G38" s="521"/>
      <c r="H38" s="521"/>
      <c r="I38" s="521"/>
      <c r="J38" s="521"/>
      <c r="K38" s="521"/>
      <c r="L38" s="521"/>
      <c r="M38" s="521"/>
      <c r="N38" s="530"/>
      <c r="O38" s="530"/>
      <c r="P38" s="530"/>
    </row>
    <row r="39" spans="1:16" ht="15" x14ac:dyDescent="0.3">
      <c r="A39" s="531" t="s">
        <v>342</v>
      </c>
      <c r="B39" s="530"/>
      <c r="C39" s="530"/>
      <c r="D39" s="530"/>
      <c r="E39" s="530"/>
      <c r="F39" s="530"/>
      <c r="G39" s="530"/>
      <c r="H39" s="530"/>
      <c r="I39" s="530"/>
      <c r="J39" s="530"/>
      <c r="K39" s="530"/>
      <c r="L39" s="530"/>
      <c r="M39" s="530"/>
      <c r="N39" s="530"/>
      <c r="O39" s="530"/>
      <c r="P39" s="530"/>
    </row>
    <row r="40" spans="1:16" ht="15" x14ac:dyDescent="0.3">
      <c r="A40" s="531" t="s">
        <v>343</v>
      </c>
      <c r="B40" s="530"/>
      <c r="C40" s="530"/>
      <c r="D40" s="530"/>
      <c r="E40" s="530"/>
      <c r="F40" s="530"/>
      <c r="G40" s="530"/>
      <c r="H40" s="530"/>
      <c r="I40" s="530"/>
      <c r="J40" s="530"/>
      <c r="K40" s="530"/>
      <c r="L40" s="530"/>
      <c r="M40" s="530"/>
      <c r="N40" s="530"/>
      <c r="O40" s="530"/>
      <c r="P40" s="530"/>
    </row>
    <row r="41" spans="1:16" ht="15" x14ac:dyDescent="0.3">
      <c r="A41" s="531" t="s">
        <v>344</v>
      </c>
      <c r="B41" s="530"/>
      <c r="C41" s="530"/>
      <c r="D41" s="530"/>
      <c r="E41" s="530"/>
      <c r="F41" s="530"/>
      <c r="G41" s="530"/>
      <c r="H41" s="530"/>
      <c r="I41" s="530"/>
      <c r="J41" s="530"/>
      <c r="K41" s="530"/>
      <c r="L41" s="530"/>
      <c r="M41" s="530"/>
      <c r="N41" s="530"/>
      <c r="O41" s="530"/>
      <c r="P41" s="530"/>
    </row>
    <row r="42" spans="1:16" ht="66.75" customHeight="1" x14ac:dyDescent="0.3">
      <c r="A42" s="526" t="s">
        <v>345</v>
      </c>
      <c r="B42" s="521"/>
      <c r="C42" s="521"/>
      <c r="D42" s="521"/>
      <c r="E42" s="521"/>
      <c r="F42" s="521"/>
      <c r="G42" s="521"/>
      <c r="H42" s="521"/>
      <c r="I42" s="521"/>
      <c r="J42" s="521"/>
      <c r="K42" s="521"/>
      <c r="L42" s="530"/>
      <c r="M42" s="530"/>
      <c r="N42" s="530"/>
      <c r="O42" s="530"/>
      <c r="P42" s="530"/>
    </row>
    <row r="43" spans="1:16" ht="16.5" customHeight="1" x14ac:dyDescent="0.3">
      <c r="A43" s="531" t="s">
        <v>346</v>
      </c>
      <c r="B43" s="530"/>
      <c r="C43" s="530"/>
      <c r="D43" s="530"/>
      <c r="E43" s="530"/>
      <c r="F43" s="530"/>
      <c r="G43" s="530"/>
      <c r="H43" s="530"/>
      <c r="I43" s="530"/>
      <c r="J43" s="530"/>
      <c r="K43" s="530"/>
      <c r="L43" s="530"/>
      <c r="M43" s="530"/>
      <c r="N43" s="530"/>
      <c r="O43" s="530"/>
      <c r="P43" s="530"/>
    </row>
    <row r="44" spans="1:16" ht="111" customHeight="1" x14ac:dyDescent="0.3">
      <c r="A44" s="628" t="s">
        <v>375</v>
      </c>
      <c r="B44" s="629"/>
      <c r="C44" s="629"/>
      <c r="D44" s="629"/>
      <c r="E44" s="629"/>
      <c r="F44" s="629"/>
      <c r="G44" s="629"/>
      <c r="H44" s="629"/>
      <c r="I44" s="629"/>
      <c r="J44" s="629"/>
      <c r="K44" s="629"/>
      <c r="L44" s="629"/>
      <c r="M44" s="629"/>
      <c r="N44" s="630"/>
      <c r="O44" s="630"/>
      <c r="P44" s="630"/>
    </row>
  </sheetData>
  <mergeCells count="11">
    <mergeCell ref="A44:P44"/>
    <mergeCell ref="A39:P39"/>
    <mergeCell ref="A40:P40"/>
    <mergeCell ref="A41:P41"/>
    <mergeCell ref="A42:P42"/>
    <mergeCell ref="A43:P43"/>
    <mergeCell ref="F4:I4"/>
    <mergeCell ref="L4:M4"/>
    <mergeCell ref="A36:M36"/>
    <mergeCell ref="A37:P37"/>
    <mergeCell ref="A38:P38"/>
  </mergeCells>
  <pageMargins left="0.19685039370078741" right="0.19685039370078741" top="0.39370078740157483" bottom="0.59055118110236227" header="0.31496062992125984" footer="0.31496062992125984"/>
  <pageSetup paperSize="8" orientation="portrait" r:id="rId1"/>
  <headerFooter>
    <oddFooter>&amp;L&amp;"Arial Narrow,Standard"DFG, 9. April 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0"/>
  <sheetViews>
    <sheetView zoomScale="120" zoomScaleNormal="120" workbookViewId="0">
      <pane ySplit="5" topLeftCell="A6" activePane="bottomLeft" state="frozen"/>
      <selection pane="bottomLeft" activeCell="A6" sqref="A6"/>
    </sheetView>
    <sheetView view="pageBreakPreview" zoomScale="122" zoomScaleNormal="100" zoomScaleSheetLayoutView="145" workbookViewId="1">
      <pane ySplit="5" topLeftCell="A6" activePane="bottomLeft" state="frozen"/>
      <selection pane="bottomLeft" activeCell="A37" sqref="A37:L37"/>
    </sheetView>
  </sheetViews>
  <sheetFormatPr baseColWidth="10" defaultColWidth="11.453125" defaultRowHeight="13" x14ac:dyDescent="0.3"/>
  <cols>
    <col min="1" max="9" width="8" style="2" customWidth="1"/>
    <col min="10" max="11" width="6.36328125" style="2" customWidth="1"/>
    <col min="12" max="16384" width="11.453125" style="2"/>
  </cols>
  <sheetData>
    <row r="1" spans="1:12" ht="15.5" x14ac:dyDescent="0.35">
      <c r="A1" s="462" t="s">
        <v>68</v>
      </c>
      <c r="B1" s="458"/>
      <c r="C1" s="458"/>
      <c r="D1" s="458"/>
      <c r="E1" s="458"/>
      <c r="F1" s="458"/>
      <c r="G1" s="458"/>
      <c r="H1" s="458"/>
      <c r="I1" s="458"/>
      <c r="J1" s="458"/>
      <c r="K1" s="458"/>
      <c r="L1" s="458"/>
    </row>
    <row r="2" spans="1:12" ht="12.75" customHeight="1" x14ac:dyDescent="0.3">
      <c r="A2" s="458" t="s">
        <v>295</v>
      </c>
      <c r="B2" s="458"/>
      <c r="C2" s="458"/>
      <c r="D2" s="458"/>
      <c r="E2" s="458"/>
      <c r="F2" s="458"/>
      <c r="G2" s="458"/>
      <c r="H2" s="458"/>
      <c r="I2" s="458"/>
      <c r="J2" s="458"/>
      <c r="K2" s="458"/>
      <c r="L2" s="458"/>
    </row>
    <row r="3" spans="1:12" ht="12.75" customHeight="1" x14ac:dyDescent="0.3">
      <c r="A3" s="458"/>
      <c r="B3" s="458"/>
      <c r="C3" s="458"/>
      <c r="D3" s="458"/>
      <c r="E3" s="458"/>
      <c r="F3" s="458"/>
      <c r="G3" s="458"/>
      <c r="H3" s="458"/>
      <c r="I3" s="458"/>
      <c r="J3" s="458"/>
      <c r="K3" s="458"/>
      <c r="L3" s="458"/>
    </row>
    <row r="4" spans="1:12" ht="15" customHeight="1" x14ac:dyDescent="0.3">
      <c r="A4" s="463"/>
      <c r="B4" s="464">
        <v>4</v>
      </c>
      <c r="C4" s="464">
        <v>40</v>
      </c>
      <c r="D4" s="464">
        <v>41</v>
      </c>
      <c r="E4" s="464">
        <v>42</v>
      </c>
      <c r="F4" s="464">
        <v>44</v>
      </c>
      <c r="G4" s="464">
        <v>46</v>
      </c>
      <c r="H4" s="464">
        <v>47</v>
      </c>
      <c r="I4" s="464">
        <v>48</v>
      </c>
      <c r="J4" s="533" t="s">
        <v>247</v>
      </c>
      <c r="K4" s="534"/>
      <c r="L4" s="458"/>
    </row>
    <row r="5" spans="1:12" s="132" customFormat="1" ht="40.5" customHeight="1" x14ac:dyDescent="0.25">
      <c r="A5" s="465" t="s">
        <v>4</v>
      </c>
      <c r="B5" s="466" t="s">
        <v>248</v>
      </c>
      <c r="C5" s="466" t="s">
        <v>249</v>
      </c>
      <c r="D5" s="466" t="s">
        <v>250</v>
      </c>
      <c r="E5" s="466" t="s">
        <v>251</v>
      </c>
      <c r="F5" s="466" t="s">
        <v>252</v>
      </c>
      <c r="G5" s="466" t="s">
        <v>347</v>
      </c>
      <c r="H5" s="466" t="s">
        <v>243</v>
      </c>
      <c r="I5" s="466" t="s">
        <v>348</v>
      </c>
      <c r="J5" s="466" t="s">
        <v>349</v>
      </c>
      <c r="K5" s="467" t="s">
        <v>350</v>
      </c>
      <c r="L5" s="468"/>
    </row>
    <row r="6" spans="1:12" s="3" customFormat="1" ht="17.25" customHeight="1" x14ac:dyDescent="0.25">
      <c r="A6" s="469">
        <v>1997</v>
      </c>
      <c r="B6" s="385">
        <v>1755.8</v>
      </c>
      <c r="C6" s="385">
        <v>603</v>
      </c>
      <c r="D6" s="385">
        <v>7.3</v>
      </c>
      <c r="E6" s="385">
        <v>163.19999999999999</v>
      </c>
      <c r="F6" s="385">
        <v>46.719000000000001</v>
      </c>
      <c r="G6" s="385">
        <f>206.4+18.4+125.5</f>
        <v>350.3</v>
      </c>
      <c r="H6" s="385">
        <v>248.5</v>
      </c>
      <c r="I6" s="385">
        <v>8.891</v>
      </c>
      <c r="J6" s="385"/>
      <c r="K6" s="470"/>
      <c r="L6" s="28"/>
    </row>
    <row r="7" spans="1:12" s="3" customFormat="1" ht="17.25" customHeight="1" x14ac:dyDescent="0.25">
      <c r="A7" s="471">
        <v>1998</v>
      </c>
      <c r="B7" s="373">
        <v>1921.5</v>
      </c>
      <c r="C7" s="373">
        <v>598.4</v>
      </c>
      <c r="D7" s="373">
        <v>7.4</v>
      </c>
      <c r="E7" s="373">
        <v>163</v>
      </c>
      <c r="F7" s="373">
        <v>42.128999999999998</v>
      </c>
      <c r="G7" s="373">
        <f>152.2+19.6+226.9</f>
        <v>398.7</v>
      </c>
      <c r="H7" s="373">
        <v>366.6</v>
      </c>
      <c r="I7" s="373">
        <v>8.9</v>
      </c>
      <c r="J7" s="373"/>
      <c r="K7" s="472"/>
      <c r="L7" s="28"/>
    </row>
    <row r="8" spans="1:12" s="3" customFormat="1" ht="17.25" customHeight="1" x14ac:dyDescent="0.25">
      <c r="A8" s="471">
        <v>1999</v>
      </c>
      <c r="B8" s="373">
        <v>1865.3</v>
      </c>
      <c r="C8" s="373">
        <v>579.29999999999995</v>
      </c>
      <c r="D8" s="373">
        <v>7.6</v>
      </c>
      <c r="E8" s="373">
        <v>174.3</v>
      </c>
      <c r="F8" s="373">
        <v>49.162999999999997</v>
      </c>
      <c r="G8" s="373">
        <f>26.6+160.6+219.1</f>
        <v>406.29999999999995</v>
      </c>
      <c r="H8" s="373">
        <v>380</v>
      </c>
      <c r="I8" s="373"/>
      <c r="J8" s="373"/>
      <c r="K8" s="472"/>
      <c r="L8" s="28"/>
    </row>
    <row r="9" spans="1:12" s="3" customFormat="1" ht="17.25" customHeight="1" x14ac:dyDescent="0.25">
      <c r="A9" s="473">
        <v>2000</v>
      </c>
      <c r="B9" s="361">
        <v>1879.5</v>
      </c>
      <c r="C9" s="361">
        <v>608.20000000000005</v>
      </c>
      <c r="D9" s="361">
        <v>7.7</v>
      </c>
      <c r="E9" s="361">
        <v>172.1</v>
      </c>
      <c r="F9" s="361">
        <v>52.819000000000003</v>
      </c>
      <c r="G9" s="361">
        <f>152.2+19.6+229.1</f>
        <v>400.9</v>
      </c>
      <c r="H9" s="361">
        <v>371</v>
      </c>
      <c r="I9" s="361"/>
      <c r="J9" s="361"/>
      <c r="K9" s="474"/>
      <c r="L9" s="28"/>
    </row>
    <row r="10" spans="1:12" s="3" customFormat="1" ht="17.25" customHeight="1" x14ac:dyDescent="0.25">
      <c r="A10" s="469">
        <v>2001</v>
      </c>
      <c r="B10" s="385">
        <v>1988.2</v>
      </c>
      <c r="C10" s="385">
        <v>590.6</v>
      </c>
      <c r="D10" s="385">
        <v>58.3</v>
      </c>
      <c r="E10" s="385">
        <v>171.57835399999999</v>
      </c>
      <c r="F10" s="385">
        <v>57.588999999999999</v>
      </c>
      <c r="G10" s="385">
        <f>241.631319+16.169996+189.417104</f>
        <v>447.21841899999998</v>
      </c>
      <c r="H10" s="385">
        <v>375</v>
      </c>
      <c r="I10" s="385"/>
      <c r="J10" s="385"/>
      <c r="K10" s="470"/>
      <c r="L10" s="28"/>
    </row>
    <row r="11" spans="1:12" s="3" customFormat="1" ht="17.25" customHeight="1" x14ac:dyDescent="0.25">
      <c r="A11" s="471">
        <v>2002</v>
      </c>
      <c r="B11" s="373">
        <v>2043</v>
      </c>
      <c r="C11" s="373">
        <v>621.79999999999995</v>
      </c>
      <c r="D11" s="373">
        <v>75.099999999999994</v>
      </c>
      <c r="E11" s="373">
        <v>140.80000000000001</v>
      </c>
      <c r="F11" s="373">
        <v>63.965600000000002</v>
      </c>
      <c r="G11" s="373">
        <f>201.5+17.9+237.5</f>
        <v>456.9</v>
      </c>
      <c r="H11" s="373">
        <v>395.7</v>
      </c>
      <c r="I11" s="373"/>
      <c r="J11" s="373"/>
      <c r="K11" s="472"/>
      <c r="L11" s="28"/>
    </row>
    <row r="12" spans="1:12" s="3" customFormat="1" ht="17.25" customHeight="1" x14ac:dyDescent="0.25">
      <c r="A12" s="471">
        <v>2003</v>
      </c>
      <c r="B12" s="373">
        <v>2064.1</v>
      </c>
      <c r="C12" s="373">
        <v>643.1</v>
      </c>
      <c r="D12" s="373">
        <v>65.5</v>
      </c>
      <c r="E12" s="373">
        <v>148.30000000000001</v>
      </c>
      <c r="F12" s="373">
        <v>61.488999999999997</v>
      </c>
      <c r="G12" s="373">
        <f>226.4+19.9+179.3</f>
        <v>425.6</v>
      </c>
      <c r="H12" s="373">
        <v>411.8</v>
      </c>
      <c r="I12" s="373"/>
      <c r="J12" s="373"/>
      <c r="K12" s="472"/>
      <c r="L12" s="28"/>
    </row>
    <row r="13" spans="1:12" s="3" customFormat="1" ht="17.25" customHeight="1" x14ac:dyDescent="0.25">
      <c r="A13" s="473">
        <v>2004</v>
      </c>
      <c r="B13" s="361">
        <v>2138.8000000000002</v>
      </c>
      <c r="C13" s="361">
        <v>662.9</v>
      </c>
      <c r="D13" s="361">
        <v>52.4</v>
      </c>
      <c r="E13" s="361">
        <v>154.5</v>
      </c>
      <c r="F13" s="361">
        <v>80.239000000000004</v>
      </c>
      <c r="G13" s="361">
        <f>205.7+19.9+256.6</f>
        <v>482.20000000000005</v>
      </c>
      <c r="H13" s="361">
        <v>419.4</v>
      </c>
      <c r="I13" s="361"/>
      <c r="J13" s="361"/>
      <c r="K13" s="474"/>
      <c r="L13" s="28"/>
    </row>
    <row r="14" spans="1:12" s="3" customFormat="1" ht="17.25" customHeight="1" x14ac:dyDescent="0.25">
      <c r="A14" s="469">
        <v>2005</v>
      </c>
      <c r="B14" s="385">
        <v>2838.8</v>
      </c>
      <c r="C14" s="385">
        <v>695</v>
      </c>
      <c r="D14" s="385">
        <v>51.2</v>
      </c>
      <c r="E14" s="385">
        <v>163.4</v>
      </c>
      <c r="F14" s="385">
        <v>92.448999999999998</v>
      </c>
      <c r="G14" s="385">
        <f>791.443+17.349+227.488</f>
        <v>1036.28</v>
      </c>
      <c r="H14" s="385">
        <v>423.5</v>
      </c>
      <c r="I14" s="385">
        <v>511.2</v>
      </c>
      <c r="J14" s="385"/>
      <c r="K14" s="470"/>
      <c r="L14" s="28"/>
    </row>
    <row r="15" spans="1:12" s="3" customFormat="1" ht="17.25" customHeight="1" x14ac:dyDescent="0.25">
      <c r="A15" s="471">
        <v>2006</v>
      </c>
      <c r="B15" s="373">
        <v>2568.3000000000002</v>
      </c>
      <c r="C15" s="373">
        <v>733.5</v>
      </c>
      <c r="D15" s="373">
        <v>45.3</v>
      </c>
      <c r="E15" s="373">
        <v>140.5</v>
      </c>
      <c r="F15" s="373">
        <v>336.68299999999999</v>
      </c>
      <c r="G15" s="373">
        <f>264.552+15.558+344.988</f>
        <v>625.09799999999996</v>
      </c>
      <c r="H15" s="373">
        <v>430.1</v>
      </c>
      <c r="I15" s="373">
        <v>235.8</v>
      </c>
      <c r="J15" s="373"/>
      <c r="K15" s="472"/>
      <c r="L15" s="28"/>
    </row>
    <row r="16" spans="1:12" s="3" customFormat="1" ht="17.25" customHeight="1" x14ac:dyDescent="0.25">
      <c r="A16" s="471">
        <v>2007</v>
      </c>
      <c r="B16" s="373">
        <v>2384.3000000000002</v>
      </c>
      <c r="C16" s="373">
        <v>757.3</v>
      </c>
      <c r="D16" s="373">
        <v>39.700000000000003</v>
      </c>
      <c r="E16" s="373">
        <v>141.5</v>
      </c>
      <c r="F16" s="373">
        <v>108.598</v>
      </c>
      <c r="G16" s="373">
        <f>408.11+12.826+242.158</f>
        <v>663.09400000000005</v>
      </c>
      <c r="H16" s="373">
        <v>439</v>
      </c>
      <c r="I16" s="373"/>
      <c r="J16" s="373"/>
      <c r="K16" s="472"/>
      <c r="L16" s="28"/>
    </row>
    <row r="17" spans="1:12" s="3" customFormat="1" ht="17.25" customHeight="1" x14ac:dyDescent="0.25">
      <c r="A17" s="473">
        <v>2008</v>
      </c>
      <c r="B17" s="361">
        <v>2569.4</v>
      </c>
      <c r="C17" s="361">
        <v>767.3</v>
      </c>
      <c r="D17" s="361">
        <v>49.7</v>
      </c>
      <c r="E17" s="361">
        <v>145.5</v>
      </c>
      <c r="F17" s="361">
        <v>59.573</v>
      </c>
      <c r="G17" s="361">
        <f>349.392+12.019+531.874</f>
        <v>893.28500000000008</v>
      </c>
      <c r="H17" s="361">
        <v>358</v>
      </c>
      <c r="I17" s="361"/>
      <c r="J17" s="361"/>
      <c r="K17" s="474"/>
      <c r="L17" s="28"/>
    </row>
    <row r="18" spans="1:12" s="3" customFormat="1" ht="17.25" customHeight="1" x14ac:dyDescent="0.25">
      <c r="A18" s="469">
        <v>2009</v>
      </c>
      <c r="B18" s="385">
        <v>2687.3</v>
      </c>
      <c r="C18" s="385">
        <v>675.9</v>
      </c>
      <c r="D18" s="385">
        <v>53.9</v>
      </c>
      <c r="E18" s="385">
        <v>158</v>
      </c>
      <c r="F18" s="385">
        <v>315.82600000000002</v>
      </c>
      <c r="G18" s="385">
        <f>499.26+14.965+326.992</f>
        <v>841.2170000000001</v>
      </c>
      <c r="H18" s="385">
        <v>355.1</v>
      </c>
      <c r="I18" s="385">
        <v>195</v>
      </c>
      <c r="J18" s="385"/>
      <c r="K18" s="470"/>
      <c r="L18" s="28"/>
    </row>
    <row r="19" spans="1:12" s="3" customFormat="1" ht="17.25" customHeight="1" x14ac:dyDescent="0.25">
      <c r="A19" s="471">
        <v>2010</v>
      </c>
      <c r="B19" s="373">
        <v>2517.3000000000002</v>
      </c>
      <c r="C19" s="373">
        <v>703.9</v>
      </c>
      <c r="D19" s="373">
        <v>53.8</v>
      </c>
      <c r="E19" s="373">
        <v>160.1</v>
      </c>
      <c r="F19" s="373">
        <v>147.42699999999999</v>
      </c>
      <c r="G19" s="373">
        <f>315.48+13.939+495.411</f>
        <v>824.83</v>
      </c>
      <c r="H19" s="373">
        <v>369.8</v>
      </c>
      <c r="I19" s="373">
        <v>14.303000000000001</v>
      </c>
      <c r="J19" s="373"/>
      <c r="K19" s="472"/>
      <c r="L19" s="28"/>
    </row>
    <row r="20" spans="1:12" s="3" customFormat="1" ht="17.25" customHeight="1" x14ac:dyDescent="0.25">
      <c r="A20" s="471">
        <v>2011</v>
      </c>
      <c r="B20" s="373">
        <v>2686.3</v>
      </c>
      <c r="C20" s="373">
        <v>674.4</v>
      </c>
      <c r="D20" s="373">
        <v>53.7</v>
      </c>
      <c r="E20" s="373">
        <v>171.4</v>
      </c>
      <c r="F20" s="373">
        <v>140.017</v>
      </c>
      <c r="G20" s="373">
        <f>477.592+13.557+305.489</f>
        <v>796.63799999999992</v>
      </c>
      <c r="H20" s="373">
        <v>376.2</v>
      </c>
      <c r="I20" s="373">
        <v>5.7984</v>
      </c>
      <c r="J20" s="373"/>
      <c r="K20" s="472"/>
      <c r="L20" s="28"/>
    </row>
    <row r="21" spans="1:12" s="3" customFormat="1" ht="17.25" customHeight="1" x14ac:dyDescent="0.25">
      <c r="A21" s="473">
        <v>2012</v>
      </c>
      <c r="B21" s="361">
        <v>2531.9</v>
      </c>
      <c r="C21" s="361">
        <v>688.3</v>
      </c>
      <c r="D21" s="361">
        <v>84.2</v>
      </c>
      <c r="E21" s="361">
        <v>176.9</v>
      </c>
      <c r="F21" s="361">
        <v>128.68299999999999</v>
      </c>
      <c r="G21" s="361">
        <f>456.158+36.591+310.188</f>
        <v>802.93700000000001</v>
      </c>
      <c r="H21" s="361">
        <v>388.9</v>
      </c>
      <c r="I21" s="361">
        <v>7.2729999999999997</v>
      </c>
      <c r="J21" s="361"/>
      <c r="K21" s="474"/>
      <c r="L21" s="28"/>
    </row>
    <row r="22" spans="1:12" s="3" customFormat="1" ht="17.25" customHeight="1" x14ac:dyDescent="0.25">
      <c r="A22" s="469" t="s">
        <v>351</v>
      </c>
      <c r="B22" s="385">
        <v>2455.5</v>
      </c>
      <c r="C22" s="385">
        <v>704.5</v>
      </c>
      <c r="D22" s="385">
        <v>84.4</v>
      </c>
      <c r="E22" s="385">
        <v>173.1</v>
      </c>
      <c r="F22" s="385">
        <v>108.54900000000001</v>
      </c>
      <c r="G22" s="385">
        <v>781.2</v>
      </c>
      <c r="H22" s="385">
        <v>394.1</v>
      </c>
      <c r="I22" s="385">
        <f t="shared" ref="I22:I28" si="0">J22+K22</f>
        <v>29.716999999999999</v>
      </c>
      <c r="J22" s="385">
        <v>29.716999999999999</v>
      </c>
      <c r="K22" s="470"/>
      <c r="L22" s="475"/>
    </row>
    <row r="23" spans="1:12" s="3" customFormat="1" ht="17.25" customHeight="1" x14ac:dyDescent="0.25">
      <c r="A23" s="471">
        <v>2014</v>
      </c>
      <c r="B23" s="373">
        <v>2566.3000000000002</v>
      </c>
      <c r="C23" s="373">
        <v>761.3</v>
      </c>
      <c r="D23" s="373">
        <v>73.7</v>
      </c>
      <c r="E23" s="373">
        <v>176.3</v>
      </c>
      <c r="F23" s="373">
        <v>103.596</v>
      </c>
      <c r="G23" s="373">
        <v>765.2</v>
      </c>
      <c r="H23" s="373">
        <v>424.6</v>
      </c>
      <c r="I23" s="373">
        <f t="shared" si="0"/>
        <v>75.871000000000009</v>
      </c>
      <c r="J23" s="373">
        <v>69.492000000000004</v>
      </c>
      <c r="K23" s="472">
        <v>6.3789999999999996</v>
      </c>
      <c r="L23" s="28"/>
    </row>
    <row r="24" spans="1:12" s="3" customFormat="1" ht="17.25" customHeight="1" x14ac:dyDescent="0.25">
      <c r="A24" s="471">
        <v>2015</v>
      </c>
      <c r="B24" s="373">
        <v>2655.9</v>
      </c>
      <c r="C24" s="373">
        <v>744.2</v>
      </c>
      <c r="D24" s="373">
        <v>105</v>
      </c>
      <c r="E24" s="373">
        <v>173</v>
      </c>
      <c r="F24" s="373">
        <v>98.236000000000004</v>
      </c>
      <c r="G24" s="373">
        <v>795.3</v>
      </c>
      <c r="H24" s="373">
        <v>431</v>
      </c>
      <c r="I24" s="373">
        <f t="shared" si="0"/>
        <v>129.18799999999999</v>
      </c>
      <c r="J24" s="373">
        <v>120.779</v>
      </c>
      <c r="K24" s="472">
        <v>8.4090000000000007</v>
      </c>
      <c r="L24" s="28"/>
    </row>
    <row r="25" spans="1:12" s="3" customFormat="1" ht="17.25" customHeight="1" x14ac:dyDescent="0.25">
      <c r="A25" s="473">
        <v>2016</v>
      </c>
      <c r="B25" s="361">
        <v>2393.6999999999998</v>
      </c>
      <c r="C25" s="361">
        <v>751.8</v>
      </c>
      <c r="D25" s="361">
        <v>81.5</v>
      </c>
      <c r="E25" s="361">
        <v>162.69999999999999</v>
      </c>
      <c r="F25" s="361">
        <v>100.313</v>
      </c>
      <c r="G25" s="361">
        <v>708</v>
      </c>
      <c r="H25" s="361">
        <v>350.8</v>
      </c>
      <c r="I25" s="361">
        <f t="shared" si="0"/>
        <v>23.613</v>
      </c>
      <c r="J25" s="361">
        <v>19.613</v>
      </c>
      <c r="K25" s="474">
        <v>4</v>
      </c>
      <c r="L25" s="28"/>
    </row>
    <row r="26" spans="1:12" s="3" customFormat="1" ht="17.25" customHeight="1" x14ac:dyDescent="0.25">
      <c r="A26" s="476">
        <v>2017</v>
      </c>
      <c r="B26" s="367">
        <v>2519.9</v>
      </c>
      <c r="C26" s="367">
        <v>775.2</v>
      </c>
      <c r="D26" s="367">
        <v>90</v>
      </c>
      <c r="E26" s="367">
        <v>161.30000000000001</v>
      </c>
      <c r="F26" s="367">
        <v>118.456</v>
      </c>
      <c r="G26" s="367">
        <v>730.4</v>
      </c>
      <c r="H26" s="367">
        <v>360.9</v>
      </c>
      <c r="I26" s="367">
        <f t="shared" si="0"/>
        <v>51.134</v>
      </c>
      <c r="J26" s="367">
        <v>44.5</v>
      </c>
      <c r="K26" s="477">
        <v>6.6340000000000003</v>
      </c>
      <c r="L26" s="28"/>
    </row>
    <row r="27" spans="1:12" s="3" customFormat="1" ht="17.25" customHeight="1" x14ac:dyDescent="0.25">
      <c r="A27" s="471">
        <v>2018</v>
      </c>
      <c r="B27" s="373">
        <v>2515.1</v>
      </c>
      <c r="C27" s="373">
        <v>803.3</v>
      </c>
      <c r="D27" s="373">
        <v>95.2</v>
      </c>
      <c r="E27" s="373">
        <v>175.2</v>
      </c>
      <c r="F27" s="373">
        <v>110.684</v>
      </c>
      <c r="G27" s="373">
        <v>728.9</v>
      </c>
      <c r="H27" s="373">
        <v>364.75270499999999</v>
      </c>
      <c r="I27" s="373">
        <v>32.08</v>
      </c>
      <c r="J27" s="373">
        <v>22.452999999999999</v>
      </c>
      <c r="K27" s="472">
        <v>9.6050000000000004</v>
      </c>
      <c r="L27" s="28"/>
    </row>
    <row r="28" spans="1:12" s="3" customFormat="1" ht="17.25" customHeight="1" x14ac:dyDescent="0.25">
      <c r="A28" s="471">
        <v>2019</v>
      </c>
      <c r="B28" s="373">
        <v>2510.4070000000002</v>
      </c>
      <c r="C28" s="373">
        <v>806.9</v>
      </c>
      <c r="D28" s="373">
        <v>101.913</v>
      </c>
      <c r="E28" s="373">
        <v>161.34299999999999</v>
      </c>
      <c r="F28" s="373">
        <v>123.95099999999999</v>
      </c>
      <c r="G28" s="373">
        <v>746.05100000000004</v>
      </c>
      <c r="H28" s="373">
        <v>356.86599999999999</v>
      </c>
      <c r="I28" s="373">
        <f t="shared" si="0"/>
        <v>18.564</v>
      </c>
      <c r="J28" s="373">
        <v>11.516</v>
      </c>
      <c r="K28" s="472">
        <v>7.048</v>
      </c>
      <c r="L28" s="28"/>
    </row>
    <row r="29" spans="1:12" s="3" customFormat="1" ht="17.25" customHeight="1" x14ac:dyDescent="0.25">
      <c r="A29" s="473">
        <v>2020</v>
      </c>
      <c r="B29" s="361">
        <v>2625.6546429999999</v>
      </c>
      <c r="C29" s="361">
        <v>836.04792499999996</v>
      </c>
      <c r="D29" s="361">
        <v>134.446032</v>
      </c>
      <c r="E29" s="361">
        <v>171.56026600000001</v>
      </c>
      <c r="F29" s="361">
        <v>128.09985599999999</v>
      </c>
      <c r="G29" s="361">
        <v>740.28286200000002</v>
      </c>
      <c r="H29" s="361">
        <v>369.67685999999998</v>
      </c>
      <c r="I29" s="361">
        <f t="shared" ref="I29" si="1">J29+K29</f>
        <v>43.258128999999997</v>
      </c>
      <c r="J29" s="361">
        <v>38.150129</v>
      </c>
      <c r="K29" s="474">
        <v>5.1079999999999997</v>
      </c>
      <c r="L29" s="28"/>
    </row>
    <row r="30" spans="1:12" s="28" customFormat="1" ht="17.25" customHeight="1" x14ac:dyDescent="0.25">
      <c r="A30" s="272">
        <v>2021</v>
      </c>
      <c r="B30" s="422">
        <v>2914.5693620000002</v>
      </c>
      <c r="C30" s="422">
        <v>819.23738700000001</v>
      </c>
      <c r="D30" s="422">
        <v>176.568409</v>
      </c>
      <c r="E30" s="422">
        <v>226.69435200000001</v>
      </c>
      <c r="F30" s="422">
        <v>127.513544</v>
      </c>
      <c r="G30" s="422">
        <v>929.96764099999996</v>
      </c>
      <c r="H30" s="422">
        <v>378.56676700000003</v>
      </c>
      <c r="I30" s="422">
        <v>61.866126000000001</v>
      </c>
      <c r="J30" s="422">
        <v>56.436228999999997</v>
      </c>
      <c r="K30" s="478">
        <v>5.4298970000000004</v>
      </c>
    </row>
    <row r="31" spans="1:12" s="3" customFormat="1" ht="17.25" customHeight="1" x14ac:dyDescent="0.25">
      <c r="A31" s="471">
        <v>2022</v>
      </c>
      <c r="B31" s="373">
        <v>2799.6245775000002</v>
      </c>
      <c r="C31" s="373">
        <v>910.47530193</v>
      </c>
      <c r="D31" s="373">
        <v>141.65873597000001</v>
      </c>
      <c r="E31" s="373">
        <v>203.74353431</v>
      </c>
      <c r="F31" s="373">
        <v>143.31632458000001</v>
      </c>
      <c r="G31" s="373">
        <v>772.08787496000002</v>
      </c>
      <c r="H31" s="373">
        <v>370.41933344</v>
      </c>
      <c r="I31" s="373">
        <v>69.422720400000003</v>
      </c>
      <c r="J31" s="373">
        <v>61.126774760000004</v>
      </c>
      <c r="K31" s="472">
        <v>8.2959456399999993</v>
      </c>
      <c r="L31" s="28"/>
    </row>
    <row r="32" spans="1:12" s="3" customFormat="1" ht="17.25" customHeight="1" x14ac:dyDescent="0.25">
      <c r="A32" s="471">
        <v>2023</v>
      </c>
      <c r="B32" s="373">
        <v>2778.6143848800002</v>
      </c>
      <c r="C32" s="373">
        <v>940.35758094000005</v>
      </c>
      <c r="D32" s="373">
        <v>69.081148290000002</v>
      </c>
      <c r="E32" s="373">
        <v>215.00286560000001</v>
      </c>
      <c r="F32" s="373">
        <v>141.36246882</v>
      </c>
      <c r="G32" s="373">
        <v>796.34193416000005</v>
      </c>
      <c r="H32" s="373">
        <v>386.52083372999999</v>
      </c>
      <c r="I32" s="373">
        <v>44.353129430000003</v>
      </c>
      <c r="J32" s="373">
        <v>25.797216379999998</v>
      </c>
      <c r="K32" s="472">
        <v>18.555913050000001</v>
      </c>
      <c r="L32" s="28"/>
    </row>
    <row r="33" spans="1:12" s="3" customFormat="1" ht="17.25" customHeight="1" x14ac:dyDescent="0.25">
      <c r="A33" s="473">
        <v>2024</v>
      </c>
      <c r="B33" s="361">
        <v>2910.0440781000002</v>
      </c>
      <c r="C33" s="361">
        <v>987.70458959999996</v>
      </c>
      <c r="D33" s="361">
        <v>82.374174679999996</v>
      </c>
      <c r="E33" s="361">
        <v>222.48589283999999</v>
      </c>
      <c r="F33" s="361">
        <v>168.72527495</v>
      </c>
      <c r="G33" s="361">
        <v>788.03431240999998</v>
      </c>
      <c r="H33" s="361">
        <v>399.08537632000002</v>
      </c>
      <c r="I33" s="361">
        <v>48.609350849999998</v>
      </c>
      <c r="J33" s="361">
        <v>25.148393779999999</v>
      </c>
      <c r="K33" s="474">
        <v>23.460957069999999</v>
      </c>
      <c r="L33" s="28"/>
    </row>
    <row r="34" spans="1:12" s="28" customFormat="1" ht="17.25" customHeight="1" x14ac:dyDescent="0.25">
      <c r="A34" s="273">
        <v>2025</v>
      </c>
      <c r="B34" s="254">
        <v>3097.5660169299999</v>
      </c>
      <c r="C34" s="254">
        <v>954.29381159000002</v>
      </c>
      <c r="D34" s="254">
        <v>117.71935456999999</v>
      </c>
      <c r="E34" s="254">
        <v>215.30161265999999</v>
      </c>
      <c r="F34" s="254">
        <v>167.89243801000001</v>
      </c>
      <c r="G34" s="254">
        <v>796.19890906000001</v>
      </c>
      <c r="H34" s="254">
        <v>408.82226878</v>
      </c>
      <c r="I34" s="254">
        <v>38.356687659999999</v>
      </c>
      <c r="J34" s="254">
        <v>9.9409485600000007</v>
      </c>
      <c r="K34" s="435">
        <v>28.4157391</v>
      </c>
    </row>
    <row r="35" spans="1:12" s="28" customFormat="1" ht="3.75" customHeight="1" x14ac:dyDescent="0.25">
      <c r="A35" s="460"/>
      <c r="B35" s="461"/>
      <c r="C35" s="461"/>
      <c r="D35" s="461"/>
      <c r="E35" s="461"/>
      <c r="F35" s="461"/>
      <c r="G35" s="461"/>
      <c r="H35" s="461"/>
      <c r="I35" s="461"/>
      <c r="J35" s="461"/>
      <c r="K35" s="461"/>
      <c r="L35" s="459"/>
    </row>
    <row r="36" spans="1:12" ht="15" customHeight="1" x14ac:dyDescent="0.3">
      <c r="A36" s="522" t="s">
        <v>339</v>
      </c>
      <c r="B36" s="523"/>
      <c r="C36" s="523"/>
      <c r="D36" s="523"/>
      <c r="E36" s="523"/>
      <c r="F36" s="523"/>
      <c r="G36" s="523"/>
      <c r="H36" s="523"/>
      <c r="I36" s="523"/>
      <c r="J36" s="523"/>
      <c r="K36" s="521"/>
      <c r="L36" s="521"/>
    </row>
    <row r="37" spans="1:12" ht="30" customHeight="1" x14ac:dyDescent="0.3">
      <c r="A37" s="522" t="s">
        <v>352</v>
      </c>
      <c r="B37" s="521"/>
      <c r="C37" s="521"/>
      <c r="D37" s="521"/>
      <c r="E37" s="521"/>
      <c r="F37" s="521"/>
      <c r="G37" s="521"/>
      <c r="H37" s="521"/>
      <c r="I37" s="521"/>
      <c r="J37" s="521"/>
      <c r="K37" s="521"/>
      <c r="L37" s="521"/>
    </row>
    <row r="38" spans="1:12" ht="56.25" customHeight="1" x14ac:dyDescent="0.3">
      <c r="A38" s="535" t="s">
        <v>353</v>
      </c>
      <c r="B38" s="523"/>
      <c r="C38" s="523"/>
      <c r="D38" s="523"/>
      <c r="E38" s="523"/>
      <c r="F38" s="523"/>
      <c r="G38" s="523"/>
      <c r="H38" s="523"/>
      <c r="I38" s="523"/>
      <c r="J38" s="523"/>
      <c r="K38" s="523"/>
      <c r="L38" s="530"/>
    </row>
    <row r="39" spans="1:12" ht="30" customHeight="1" x14ac:dyDescent="0.3">
      <c r="A39" s="535" t="s">
        <v>355</v>
      </c>
      <c r="B39" s="523"/>
      <c r="C39" s="523"/>
      <c r="D39" s="523"/>
      <c r="E39" s="523"/>
      <c r="F39" s="523"/>
      <c r="G39" s="523"/>
      <c r="H39" s="523"/>
      <c r="I39" s="523"/>
      <c r="J39" s="523"/>
      <c r="K39" s="523"/>
      <c r="L39" s="523"/>
    </row>
    <row r="40" spans="1:12" ht="17.25" customHeight="1" x14ac:dyDescent="0.3">
      <c r="A40" s="532" t="s">
        <v>354</v>
      </c>
      <c r="B40" s="530"/>
      <c r="C40" s="530"/>
      <c r="D40" s="530"/>
      <c r="E40" s="530"/>
      <c r="F40" s="530"/>
      <c r="G40" s="530"/>
      <c r="H40" s="530"/>
      <c r="I40" s="530"/>
      <c r="J40" s="530"/>
      <c r="K40" s="530"/>
      <c r="L40" s="530"/>
    </row>
  </sheetData>
  <mergeCells count="6">
    <mergeCell ref="A40:L40"/>
    <mergeCell ref="J4:K4"/>
    <mergeCell ref="A38:L38"/>
    <mergeCell ref="A39:L39"/>
    <mergeCell ref="A36:L36"/>
    <mergeCell ref="A37:L37"/>
  </mergeCells>
  <pageMargins left="0.19685039370078741" right="0.19685039370078741" top="0.39370078740157483" bottom="0.59055118110236227" header="0.31496062992125984" footer="0.31496062992125984"/>
  <pageSetup paperSize="9" fitToHeight="0" orientation="portrait" r:id="rId1"/>
  <headerFooter>
    <oddFooter>&amp;L&amp;"Arial Narrow,Standard"DFG, 9. April 2024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3"/>
  <sheetViews>
    <sheetView view="pageBreakPreview" zoomScale="120" zoomScaleNormal="100" zoomScaleSheetLayoutView="120" workbookViewId="0">
      <pane ySplit="5" topLeftCell="A6" activePane="bottomLeft" state="frozen"/>
      <selection pane="bottomLeft" activeCell="A6" sqref="A6"/>
    </sheetView>
    <sheetView view="pageBreakPreview" zoomScale="96" zoomScaleNormal="130" zoomScaleSheetLayoutView="130" workbookViewId="1">
      <pane ySplit="5" topLeftCell="A41" activePane="bottomLeft" state="frozen"/>
      <selection pane="bottomLeft" activeCell="I21" sqref="I21"/>
    </sheetView>
  </sheetViews>
  <sheetFormatPr baseColWidth="10" defaultColWidth="11.453125" defaultRowHeight="13" x14ac:dyDescent="0.3"/>
  <cols>
    <col min="1" max="1" width="7" style="2" customWidth="1"/>
    <col min="2" max="8" width="9.6328125" style="2" customWidth="1"/>
    <col min="9" max="9" width="71.90625" style="2" customWidth="1"/>
    <col min="10" max="16384" width="11.453125" style="2"/>
  </cols>
  <sheetData>
    <row r="1" spans="1:8" ht="15.75" customHeight="1" x14ac:dyDescent="0.35">
      <c r="A1" s="1" t="s">
        <v>14</v>
      </c>
    </row>
    <row r="2" spans="1:8" ht="12.75" customHeight="1" x14ac:dyDescent="0.3">
      <c r="A2" s="2" t="s">
        <v>295</v>
      </c>
    </row>
    <row r="3" spans="1:8" ht="12.75" customHeight="1" x14ac:dyDescent="0.3">
      <c r="H3" s="5" t="s">
        <v>15</v>
      </c>
    </row>
    <row r="4" spans="1:8" ht="15" x14ac:dyDescent="0.3">
      <c r="A4" s="55"/>
      <c r="B4" s="540" t="s">
        <v>161</v>
      </c>
      <c r="C4" s="541"/>
      <c r="D4" s="542"/>
      <c r="E4" s="109" t="s">
        <v>162</v>
      </c>
      <c r="F4" s="540" t="s">
        <v>28</v>
      </c>
      <c r="G4" s="543"/>
      <c r="H4" s="544" t="s">
        <v>78</v>
      </c>
    </row>
    <row r="5" spans="1:8" s="5" customFormat="1" ht="39" customHeight="1" x14ac:dyDescent="0.3">
      <c r="A5" s="276" t="s">
        <v>4</v>
      </c>
      <c r="B5" s="47" t="s">
        <v>163</v>
      </c>
      <c r="C5" s="44" t="s">
        <v>164</v>
      </c>
      <c r="D5" s="48" t="s">
        <v>297</v>
      </c>
      <c r="E5" s="49" t="s">
        <v>1</v>
      </c>
      <c r="F5" s="47" t="s">
        <v>29</v>
      </c>
      <c r="G5" s="50" t="s">
        <v>31</v>
      </c>
      <c r="H5" s="545"/>
    </row>
    <row r="6" spans="1:8" s="9" customFormat="1" ht="17.25" customHeight="1" x14ac:dyDescent="0.25">
      <c r="A6" s="56">
        <v>1997</v>
      </c>
      <c r="B6" s="223">
        <v>327.10000000000002</v>
      </c>
      <c r="C6" s="224">
        <v>324.39999999999998</v>
      </c>
      <c r="D6" s="225">
        <f>C6-B6</f>
        <v>-2.7000000000000455</v>
      </c>
      <c r="E6" s="277">
        <v>-21.1</v>
      </c>
      <c r="F6" s="223">
        <f t="shared" ref="F6:F28" si="0">D6-E6</f>
        <v>18.399999999999956</v>
      </c>
      <c r="G6" s="278">
        <f t="shared" ref="G6:G28" si="1">F6/B6</f>
        <v>5.6251910730663268E-2</v>
      </c>
      <c r="H6" s="228">
        <v>-12.698</v>
      </c>
    </row>
    <row r="7" spans="1:8" s="9" customFormat="1" ht="17.25" customHeight="1" x14ac:dyDescent="0.25">
      <c r="A7" s="57">
        <v>1998</v>
      </c>
      <c r="B7" s="229">
        <v>341.1</v>
      </c>
      <c r="C7" s="230">
        <v>340.3</v>
      </c>
      <c r="D7" s="231">
        <f t="shared" ref="D7:D28" si="2">C7-B7</f>
        <v>-0.80000000000001137</v>
      </c>
      <c r="E7" s="279">
        <v>-22.9</v>
      </c>
      <c r="F7" s="229">
        <f t="shared" si="0"/>
        <v>22.099999999999987</v>
      </c>
      <c r="G7" s="280">
        <f t="shared" si="1"/>
        <v>6.4790384051597733E-2</v>
      </c>
      <c r="H7" s="234">
        <f t="shared" ref="H7:H13" si="3">H6+D7</f>
        <v>-13.498000000000012</v>
      </c>
    </row>
    <row r="8" spans="1:8" s="9" customFormat="1" ht="17.25" customHeight="1" x14ac:dyDescent="0.25">
      <c r="A8" s="57">
        <v>1999</v>
      </c>
      <c r="B8" s="229">
        <v>368</v>
      </c>
      <c r="C8" s="230">
        <v>351.5</v>
      </c>
      <c r="D8" s="231">
        <f t="shared" si="2"/>
        <v>-16.5</v>
      </c>
      <c r="E8" s="279">
        <v>-20.399999999999999</v>
      </c>
      <c r="F8" s="229">
        <f t="shared" si="0"/>
        <v>3.8999999999999986</v>
      </c>
      <c r="G8" s="280">
        <f t="shared" si="1"/>
        <v>1.0597826086956518E-2</v>
      </c>
      <c r="H8" s="234">
        <f t="shared" si="3"/>
        <v>-29.998000000000012</v>
      </c>
    </row>
    <row r="9" spans="1:8" s="9" customFormat="1" ht="17.25" customHeight="1" x14ac:dyDescent="0.25">
      <c r="A9" s="58">
        <v>2000</v>
      </c>
      <c r="B9" s="235">
        <v>339.9</v>
      </c>
      <c r="C9" s="236">
        <v>328.5</v>
      </c>
      <c r="D9" s="237">
        <f t="shared" si="2"/>
        <v>-11.399999999999977</v>
      </c>
      <c r="E9" s="281">
        <v>-21.1</v>
      </c>
      <c r="F9" s="235">
        <f t="shared" si="0"/>
        <v>9.7000000000000242</v>
      </c>
      <c r="G9" s="282">
        <f t="shared" si="1"/>
        <v>2.8537805236834437E-2</v>
      </c>
      <c r="H9" s="240">
        <f>H8+D9</f>
        <v>-41.397999999999989</v>
      </c>
    </row>
    <row r="10" spans="1:8" s="9" customFormat="1" ht="17.25" customHeight="1" x14ac:dyDescent="0.25">
      <c r="A10" s="56">
        <v>2001</v>
      </c>
      <c r="B10" s="223">
        <v>355</v>
      </c>
      <c r="C10" s="224">
        <v>342.7</v>
      </c>
      <c r="D10" s="225">
        <f t="shared" si="2"/>
        <v>-12.300000000000011</v>
      </c>
      <c r="E10" s="277">
        <v>-17.3</v>
      </c>
      <c r="F10" s="223">
        <f t="shared" si="0"/>
        <v>4.9999999999999893</v>
      </c>
      <c r="G10" s="278">
        <f t="shared" si="1"/>
        <v>1.4084507042253492E-2</v>
      </c>
      <c r="H10" s="228">
        <f t="shared" si="3"/>
        <v>-53.698</v>
      </c>
    </row>
    <row r="11" spans="1:8" s="9" customFormat="1" ht="17.25" customHeight="1" x14ac:dyDescent="0.25">
      <c r="A11" s="57">
        <v>2002</v>
      </c>
      <c r="B11" s="229">
        <v>387.423</v>
      </c>
      <c r="C11" s="230">
        <v>381.67399999999998</v>
      </c>
      <c r="D11" s="231">
        <f t="shared" si="2"/>
        <v>-5.7490000000000236</v>
      </c>
      <c r="E11" s="279">
        <v>-27.8</v>
      </c>
      <c r="F11" s="229">
        <f t="shared" si="0"/>
        <v>22.050999999999977</v>
      </c>
      <c r="G11" s="280">
        <f t="shared" si="1"/>
        <v>5.6917116433458974E-2</v>
      </c>
      <c r="H11" s="234">
        <f t="shared" si="3"/>
        <v>-59.447000000000024</v>
      </c>
    </row>
    <row r="12" spans="1:8" s="9" customFormat="1" ht="17.25" customHeight="1" x14ac:dyDescent="0.25">
      <c r="A12" s="57">
        <v>2003</v>
      </c>
      <c r="B12" s="229">
        <v>377.71699999999998</v>
      </c>
      <c r="C12" s="230">
        <v>360.88799999999998</v>
      </c>
      <c r="D12" s="231">
        <f t="shared" si="2"/>
        <v>-16.829000000000008</v>
      </c>
      <c r="E12" s="279">
        <v>-23.1</v>
      </c>
      <c r="F12" s="229">
        <f t="shared" si="0"/>
        <v>6.2709999999999937</v>
      </c>
      <c r="G12" s="280">
        <f t="shared" si="1"/>
        <v>1.6602376911814914E-2</v>
      </c>
      <c r="H12" s="234">
        <f t="shared" si="3"/>
        <v>-76.276000000000039</v>
      </c>
    </row>
    <row r="13" spans="1:8" s="9" customFormat="1" ht="17.25" customHeight="1" x14ac:dyDescent="0.25">
      <c r="A13" s="58">
        <v>2004</v>
      </c>
      <c r="B13" s="235">
        <v>386.5</v>
      </c>
      <c r="C13" s="236">
        <v>386.5</v>
      </c>
      <c r="D13" s="237">
        <f t="shared" si="2"/>
        <v>0</v>
      </c>
      <c r="E13" s="281">
        <v>-23.9</v>
      </c>
      <c r="F13" s="235">
        <f t="shared" si="0"/>
        <v>23.9</v>
      </c>
      <c r="G13" s="282">
        <f t="shared" si="1"/>
        <v>6.1836998706338936E-2</v>
      </c>
      <c r="H13" s="240">
        <f t="shared" si="3"/>
        <v>-76.276000000000039</v>
      </c>
    </row>
    <row r="14" spans="1:8" s="9" customFormat="1" ht="17.25" customHeight="1" x14ac:dyDescent="0.25">
      <c r="A14" s="56" t="s">
        <v>165</v>
      </c>
      <c r="B14" s="223">
        <v>376.09800000000001</v>
      </c>
      <c r="C14" s="224">
        <v>367.34100000000001</v>
      </c>
      <c r="D14" s="225">
        <f t="shared" si="2"/>
        <v>-8.757000000000005</v>
      </c>
      <c r="E14" s="277">
        <v>-18.635999999999999</v>
      </c>
      <c r="F14" s="223">
        <f t="shared" si="0"/>
        <v>9.8789999999999942</v>
      </c>
      <c r="G14" s="278">
        <f t="shared" si="1"/>
        <v>2.6267089960595361E-2</v>
      </c>
      <c r="H14" s="228">
        <f>H13+D14+85</f>
        <v>-3.3000000000043883E-2</v>
      </c>
    </row>
    <row r="15" spans="1:8" s="9" customFormat="1" ht="17.25" customHeight="1" x14ac:dyDescent="0.25">
      <c r="A15" s="57">
        <v>2006</v>
      </c>
      <c r="B15" s="229">
        <v>347.1</v>
      </c>
      <c r="C15" s="230">
        <v>350.7</v>
      </c>
      <c r="D15" s="231">
        <f t="shared" si="2"/>
        <v>3.5999999999999659</v>
      </c>
      <c r="E15" s="279">
        <v>-15.6</v>
      </c>
      <c r="F15" s="229">
        <f t="shared" si="0"/>
        <v>19.199999999999967</v>
      </c>
      <c r="G15" s="280">
        <f t="shared" si="1"/>
        <v>5.5315471045808029E-2</v>
      </c>
      <c r="H15" s="234">
        <f t="shared" ref="H15:H20" si="4">H14+D15</f>
        <v>3.566999999999922</v>
      </c>
    </row>
    <row r="16" spans="1:8" s="9" customFormat="1" ht="17.25" customHeight="1" x14ac:dyDescent="0.25">
      <c r="A16" s="57">
        <v>2007</v>
      </c>
      <c r="B16" s="229">
        <v>311.95800000000003</v>
      </c>
      <c r="C16" s="230">
        <v>317.31599999999997</v>
      </c>
      <c r="D16" s="231">
        <f t="shared" si="2"/>
        <v>5.3579999999999472</v>
      </c>
      <c r="E16" s="279">
        <v>-17.864000000000001</v>
      </c>
      <c r="F16" s="229">
        <f t="shared" si="0"/>
        <v>23.221999999999948</v>
      </c>
      <c r="G16" s="280">
        <f t="shared" si="1"/>
        <v>7.4439507882471181E-2</v>
      </c>
      <c r="H16" s="234">
        <f t="shared" si="4"/>
        <v>8.9249999999998693</v>
      </c>
    </row>
    <row r="17" spans="1:8" s="9" customFormat="1" ht="17.25" customHeight="1" x14ac:dyDescent="0.25">
      <c r="A17" s="58">
        <v>2008</v>
      </c>
      <c r="B17" s="235">
        <v>350.7</v>
      </c>
      <c r="C17" s="236">
        <v>389.4</v>
      </c>
      <c r="D17" s="237">
        <f t="shared" si="2"/>
        <v>38.699999999999989</v>
      </c>
      <c r="E17" s="281">
        <v>1</v>
      </c>
      <c r="F17" s="235">
        <f t="shared" si="0"/>
        <v>37.699999999999989</v>
      </c>
      <c r="G17" s="282">
        <f t="shared" si="1"/>
        <v>0.10749928714000567</v>
      </c>
      <c r="H17" s="240">
        <f t="shared" si="4"/>
        <v>47.624999999999858</v>
      </c>
    </row>
    <row r="18" spans="1:8" s="9" customFormat="1" ht="17.25" customHeight="1" x14ac:dyDescent="0.25">
      <c r="A18" s="56">
        <v>2009</v>
      </c>
      <c r="B18" s="223">
        <v>333.947</v>
      </c>
      <c r="C18" s="224">
        <v>341.255</v>
      </c>
      <c r="D18" s="225">
        <f t="shared" si="2"/>
        <v>7.3079999999999927</v>
      </c>
      <c r="E18" s="277">
        <v>-10.944000000000001</v>
      </c>
      <c r="F18" s="223">
        <f t="shared" si="0"/>
        <v>18.251999999999995</v>
      </c>
      <c r="G18" s="278">
        <f t="shared" si="1"/>
        <v>5.4655379446439091E-2</v>
      </c>
      <c r="H18" s="228">
        <f t="shared" si="4"/>
        <v>54.932999999999851</v>
      </c>
    </row>
    <row r="19" spans="1:8" s="9" customFormat="1" ht="17.25" customHeight="1" x14ac:dyDescent="0.25">
      <c r="A19" s="57">
        <v>2010</v>
      </c>
      <c r="B19" s="229">
        <v>346.3</v>
      </c>
      <c r="C19" s="230">
        <v>360.9</v>
      </c>
      <c r="D19" s="231">
        <f t="shared" si="2"/>
        <v>14.599999999999966</v>
      </c>
      <c r="E19" s="283">
        <v>-15</v>
      </c>
      <c r="F19" s="229">
        <f t="shared" si="0"/>
        <v>29.599999999999966</v>
      </c>
      <c r="G19" s="284">
        <f t="shared" si="1"/>
        <v>8.5475021657522285E-2</v>
      </c>
      <c r="H19" s="234">
        <f t="shared" si="4"/>
        <v>69.532999999999817</v>
      </c>
    </row>
    <row r="20" spans="1:8" s="9" customFormat="1" ht="17.25" customHeight="1" x14ac:dyDescent="0.25">
      <c r="A20" s="57">
        <v>2011</v>
      </c>
      <c r="B20" s="229">
        <v>324.012</v>
      </c>
      <c r="C20" s="230">
        <v>336.55399999999997</v>
      </c>
      <c r="D20" s="231">
        <f t="shared" si="2"/>
        <v>12.541999999999973</v>
      </c>
      <c r="E20" s="279">
        <v>-14.6</v>
      </c>
      <c r="F20" s="229">
        <f t="shared" si="0"/>
        <v>27.141999999999975</v>
      </c>
      <c r="G20" s="280">
        <f t="shared" si="1"/>
        <v>8.3768502401145556E-2</v>
      </c>
      <c r="H20" s="234">
        <f t="shared" si="4"/>
        <v>82.07499999999979</v>
      </c>
    </row>
    <row r="21" spans="1:8" s="9" customFormat="1" ht="17.25" customHeight="1" x14ac:dyDescent="0.25">
      <c r="A21" s="58" t="s">
        <v>166</v>
      </c>
      <c r="B21" s="235">
        <v>320.7</v>
      </c>
      <c r="C21" s="236">
        <v>329.6</v>
      </c>
      <c r="D21" s="237">
        <f t="shared" si="2"/>
        <v>8.9000000000000341</v>
      </c>
      <c r="E21" s="281">
        <v>-16.100000000000001</v>
      </c>
      <c r="F21" s="235">
        <f t="shared" si="0"/>
        <v>25.000000000000036</v>
      </c>
      <c r="G21" s="282">
        <f t="shared" si="1"/>
        <v>7.7954474586841405E-2</v>
      </c>
      <c r="H21" s="240">
        <f>H20+D21-3</f>
        <v>87.974999999999824</v>
      </c>
    </row>
    <row r="22" spans="1:8" s="9" customFormat="1" ht="17.25" customHeight="1" x14ac:dyDescent="0.25">
      <c r="A22" s="56">
        <v>2013</v>
      </c>
      <c r="B22" s="223">
        <v>339.9</v>
      </c>
      <c r="C22" s="224">
        <v>341.5</v>
      </c>
      <c r="D22" s="225">
        <f t="shared" si="2"/>
        <v>1.6000000000000227</v>
      </c>
      <c r="E22" s="277">
        <v>-18.600000000000001</v>
      </c>
      <c r="F22" s="223">
        <f t="shared" si="0"/>
        <v>20.200000000000024</v>
      </c>
      <c r="G22" s="278">
        <f t="shared" si="1"/>
        <v>5.9429243895263391E-2</v>
      </c>
      <c r="H22" s="228">
        <f>H21+D22</f>
        <v>89.574999999999847</v>
      </c>
    </row>
    <row r="23" spans="1:8" s="9" customFormat="1" ht="17.25" customHeight="1" x14ac:dyDescent="0.25">
      <c r="A23" s="57">
        <v>2014</v>
      </c>
      <c r="B23" s="229">
        <v>340.9</v>
      </c>
      <c r="C23" s="230">
        <v>352.3</v>
      </c>
      <c r="D23" s="231">
        <f t="shared" si="2"/>
        <v>11.400000000000034</v>
      </c>
      <c r="E23" s="279">
        <v>-20</v>
      </c>
      <c r="F23" s="229">
        <f t="shared" si="0"/>
        <v>31.400000000000034</v>
      </c>
      <c r="G23" s="280">
        <f t="shared" si="1"/>
        <v>9.2109122909944371E-2</v>
      </c>
      <c r="H23" s="234">
        <f>H22+D23</f>
        <v>100.97499999999988</v>
      </c>
    </row>
    <row r="24" spans="1:8" s="9" customFormat="1" ht="17.25" customHeight="1" x14ac:dyDescent="0.25">
      <c r="A24" s="57">
        <v>2015</v>
      </c>
      <c r="B24" s="229">
        <v>328.433494</v>
      </c>
      <c r="C24" s="230">
        <v>331.799893</v>
      </c>
      <c r="D24" s="231">
        <f t="shared" si="2"/>
        <v>3.3663990000000013</v>
      </c>
      <c r="E24" s="279">
        <v>-19.8</v>
      </c>
      <c r="F24" s="229">
        <f t="shared" si="0"/>
        <v>23.166399000000002</v>
      </c>
      <c r="G24" s="280">
        <f t="shared" si="1"/>
        <v>7.053604283124669E-2</v>
      </c>
      <c r="H24" s="234">
        <f>H23+D24</f>
        <v>104.34139899999988</v>
      </c>
    </row>
    <row r="25" spans="1:8" s="9" customFormat="1" ht="17.25" customHeight="1" x14ac:dyDescent="0.25">
      <c r="A25" s="58" t="s">
        <v>167</v>
      </c>
      <c r="B25" s="235">
        <v>327.54234200000002</v>
      </c>
      <c r="C25" s="236">
        <v>319.087783</v>
      </c>
      <c r="D25" s="237">
        <f t="shared" si="2"/>
        <v>-8.4545590000000175</v>
      </c>
      <c r="E25" s="281">
        <v>-19.899999999999999</v>
      </c>
      <c r="F25" s="235">
        <f t="shared" si="0"/>
        <v>11.445440999999981</v>
      </c>
      <c r="G25" s="282">
        <f t="shared" si="1"/>
        <v>3.4943393669695323E-2</v>
      </c>
      <c r="H25" s="240">
        <f>H24+D25+4.1</f>
        <v>99.986839999999859</v>
      </c>
    </row>
    <row r="26" spans="1:8" s="9" customFormat="1" ht="17.25" customHeight="1" x14ac:dyDescent="0.25">
      <c r="A26" s="59">
        <v>2017</v>
      </c>
      <c r="B26" s="247">
        <v>333.8</v>
      </c>
      <c r="C26" s="248">
        <v>333.8</v>
      </c>
      <c r="D26" s="249">
        <f t="shared" si="2"/>
        <v>0</v>
      </c>
      <c r="E26" s="285">
        <v>-20</v>
      </c>
      <c r="F26" s="247">
        <f t="shared" si="0"/>
        <v>20</v>
      </c>
      <c r="G26" s="286">
        <f t="shared" si="1"/>
        <v>5.9916117435590173E-2</v>
      </c>
      <c r="H26" s="251">
        <f>H25+D26</f>
        <v>99.986839999999859</v>
      </c>
    </row>
    <row r="27" spans="1:8" s="9" customFormat="1" ht="17.25" customHeight="1" x14ac:dyDescent="0.25">
      <c r="A27" s="57">
        <v>2018</v>
      </c>
      <c r="B27" s="229">
        <v>311.09550999999999</v>
      </c>
      <c r="C27" s="230">
        <v>311.09550999999999</v>
      </c>
      <c r="D27" s="231">
        <f t="shared" si="2"/>
        <v>0</v>
      </c>
      <c r="E27" s="279">
        <v>-19.899999999999999</v>
      </c>
      <c r="F27" s="229">
        <f t="shared" si="0"/>
        <v>19.899999999999999</v>
      </c>
      <c r="G27" s="284">
        <f t="shared" si="1"/>
        <v>6.3967493455627175E-2</v>
      </c>
      <c r="H27" s="234">
        <f>H26+D27</f>
        <v>99.986839999999859</v>
      </c>
    </row>
    <row r="28" spans="1:8" s="9" customFormat="1" ht="17.25" customHeight="1" x14ac:dyDescent="0.25">
      <c r="A28" s="57">
        <v>2019</v>
      </c>
      <c r="B28" s="229">
        <v>303.81456500000002</v>
      </c>
      <c r="C28" s="230">
        <v>303.81456500000002</v>
      </c>
      <c r="D28" s="231">
        <f t="shared" si="2"/>
        <v>0</v>
      </c>
      <c r="E28" s="279">
        <v>-19.78</v>
      </c>
      <c r="F28" s="229">
        <f t="shared" si="0"/>
        <v>19.78</v>
      </c>
      <c r="G28" s="284">
        <f t="shared" si="1"/>
        <v>6.5105502759553346E-2</v>
      </c>
      <c r="H28" s="234">
        <f>H27+D28</f>
        <v>99.986839999999859</v>
      </c>
    </row>
    <row r="29" spans="1:8" s="9" customFormat="1" ht="17.25" customHeight="1" x14ac:dyDescent="0.25">
      <c r="A29" s="58">
        <v>2020</v>
      </c>
      <c r="B29" s="235">
        <v>299.38545399999998</v>
      </c>
      <c r="C29" s="236">
        <v>299.38545399999998</v>
      </c>
      <c r="D29" s="237">
        <f t="shared" ref="D29:D34" si="5">C29-B29</f>
        <v>0</v>
      </c>
      <c r="E29" s="281">
        <v>-19.96</v>
      </c>
      <c r="F29" s="235">
        <f t="shared" ref="F29:F32" si="6">D29-E29</f>
        <v>19.96</v>
      </c>
      <c r="G29" s="287">
        <f t="shared" ref="G29" si="7">F29/B29</f>
        <v>6.6669905746322602E-2</v>
      </c>
      <c r="H29" s="240">
        <f>H27+D29</f>
        <v>99.986839999999859</v>
      </c>
    </row>
    <row r="30" spans="1:8" s="9" customFormat="1" ht="17.25" customHeight="1" x14ac:dyDescent="0.25">
      <c r="A30" s="59">
        <v>2021</v>
      </c>
      <c r="B30" s="247">
        <v>302.66880099999997</v>
      </c>
      <c r="C30" s="248">
        <v>302.66880099999997</v>
      </c>
      <c r="D30" s="249">
        <f t="shared" si="5"/>
        <v>0</v>
      </c>
      <c r="E30" s="285">
        <v>-19.975000000000001</v>
      </c>
      <c r="F30" s="247">
        <f t="shared" si="6"/>
        <v>19.975000000000001</v>
      </c>
      <c r="G30" s="286">
        <f>F30/B30</f>
        <v>6.5996230645523332E-2</v>
      </c>
      <c r="H30" s="251">
        <f>H28+D30</f>
        <v>99.986839999999859</v>
      </c>
    </row>
    <row r="31" spans="1:8" s="9" customFormat="1" ht="17.25" customHeight="1" x14ac:dyDescent="0.25">
      <c r="A31" s="57">
        <v>2022</v>
      </c>
      <c r="B31" s="229">
        <v>301.74929152999999</v>
      </c>
      <c r="C31" s="230">
        <v>301.74929152999999</v>
      </c>
      <c r="D31" s="231">
        <f t="shared" si="5"/>
        <v>0</v>
      </c>
      <c r="E31" s="279">
        <v>-19.89</v>
      </c>
      <c r="F31" s="247">
        <f t="shared" si="6"/>
        <v>19.89</v>
      </c>
      <c r="G31" s="284">
        <f>F31/B31</f>
        <v>6.5915647719167983E-2</v>
      </c>
      <c r="H31" s="234">
        <f>H28+D31</f>
        <v>99.986839999999859</v>
      </c>
    </row>
    <row r="32" spans="1:8" s="9" customFormat="1" ht="17.25" customHeight="1" x14ac:dyDescent="0.25">
      <c r="A32" s="436">
        <v>2023</v>
      </c>
      <c r="B32" s="437">
        <v>295.88658800000002</v>
      </c>
      <c r="C32" s="434">
        <v>295.88658800000002</v>
      </c>
      <c r="D32" s="231">
        <f t="shared" si="5"/>
        <v>0</v>
      </c>
      <c r="E32" s="439">
        <v>-18.835000000000001</v>
      </c>
      <c r="F32" s="247">
        <f t="shared" si="6"/>
        <v>18.835000000000001</v>
      </c>
      <c r="G32" s="284">
        <f t="shared" ref="G32" si="8">F32/B32</f>
        <v>6.3656146523275323E-2</v>
      </c>
      <c r="H32" s="440">
        <v>99.986839999999859</v>
      </c>
    </row>
    <row r="33" spans="1:9" s="9" customFormat="1" ht="17.25" customHeight="1" x14ac:dyDescent="0.25">
      <c r="A33" s="58">
        <v>2024</v>
      </c>
      <c r="B33" s="235">
        <v>315.25568638999999</v>
      </c>
      <c r="C33" s="236">
        <v>315.25568638999999</v>
      </c>
      <c r="D33" s="438">
        <f t="shared" si="5"/>
        <v>0</v>
      </c>
      <c r="E33" s="281">
        <v>-19.419</v>
      </c>
      <c r="F33" s="235">
        <f t="shared" ref="F33" si="9">D33-E33</f>
        <v>19.419</v>
      </c>
      <c r="G33" s="287">
        <f t="shared" ref="G33" si="10">F33/B33</f>
        <v>6.1597620085358046E-2</v>
      </c>
      <c r="H33" s="240">
        <f>H31+D33</f>
        <v>99.986839999999859</v>
      </c>
    </row>
    <row r="34" spans="1:9" s="9" customFormat="1" ht="17.25" customHeight="1" x14ac:dyDescent="0.25">
      <c r="A34" s="480">
        <v>2025</v>
      </c>
      <c r="B34" s="253">
        <v>304.03510089999997</v>
      </c>
      <c r="C34" s="254">
        <v>304.03510089999997</v>
      </c>
      <c r="D34" s="481">
        <f t="shared" si="5"/>
        <v>0</v>
      </c>
      <c r="E34" s="482">
        <v>-19.870999999999999</v>
      </c>
      <c r="F34" s="253">
        <f>D34-E34</f>
        <v>19.870999999999999</v>
      </c>
      <c r="G34" s="483">
        <f>F34/B34</f>
        <v>6.5357585164272716E-2</v>
      </c>
      <c r="H34" s="452">
        <f>H32+D34</f>
        <v>99.986839999999859</v>
      </c>
    </row>
    <row r="35" spans="1:9" ht="3.75" customHeight="1" x14ac:dyDescent="0.3"/>
    <row r="36" spans="1:9" ht="15" customHeight="1" x14ac:dyDescent="0.3">
      <c r="A36" s="531" t="s">
        <v>356</v>
      </c>
      <c r="B36" s="531"/>
      <c r="C36" s="531"/>
      <c r="D36" s="531"/>
      <c r="E36" s="531"/>
      <c r="F36" s="531"/>
      <c r="G36" s="531"/>
      <c r="H36" s="531"/>
      <c r="I36" s="531"/>
    </row>
    <row r="37" spans="1:9" ht="15" customHeight="1" x14ac:dyDescent="0.3">
      <c r="A37" s="531" t="s">
        <v>357</v>
      </c>
      <c r="B37" s="531"/>
      <c r="C37" s="531"/>
      <c r="D37" s="531"/>
      <c r="E37" s="531"/>
      <c r="F37" s="531"/>
      <c r="G37" s="531"/>
      <c r="H37" s="531"/>
      <c r="I37" s="531"/>
    </row>
    <row r="38" spans="1:9" ht="15" customHeight="1" x14ac:dyDescent="0.3">
      <c r="A38" s="458" t="s">
        <v>358</v>
      </c>
      <c r="B38" s="456"/>
      <c r="C38" s="456"/>
      <c r="D38" s="456"/>
      <c r="E38" s="456"/>
      <c r="F38" s="456"/>
      <c r="G38" s="456"/>
      <c r="H38" s="456"/>
      <c r="I38" s="456"/>
    </row>
    <row r="39" spans="1:9" ht="30" customHeight="1" x14ac:dyDescent="0.3">
      <c r="A39" s="520" t="s">
        <v>359</v>
      </c>
      <c r="B39" s="521"/>
      <c r="C39" s="521"/>
      <c r="D39" s="521"/>
      <c r="E39" s="521"/>
      <c r="F39" s="521"/>
      <c r="G39" s="521"/>
      <c r="H39" s="521"/>
      <c r="I39" s="530"/>
    </row>
    <row r="40" spans="1:9" ht="15" x14ac:dyDescent="0.3">
      <c r="A40" s="2" t="s">
        <v>168</v>
      </c>
      <c r="B40" s="456"/>
      <c r="C40" s="456"/>
      <c r="D40" s="456"/>
      <c r="E40" s="456"/>
      <c r="F40" s="456"/>
      <c r="G40" s="456"/>
      <c r="H40" s="456"/>
      <c r="I40" s="456"/>
    </row>
    <row r="41" spans="1:9" ht="15" customHeight="1" x14ac:dyDescent="0.3">
      <c r="A41" s="536" t="s">
        <v>169</v>
      </c>
      <c r="B41" s="537"/>
      <c r="C41" s="537"/>
      <c r="D41" s="537"/>
      <c r="E41" s="537"/>
      <c r="F41" s="537"/>
      <c r="G41" s="537"/>
      <c r="H41" s="537"/>
      <c r="I41" s="537"/>
    </row>
    <row r="42" spans="1:9" x14ac:dyDescent="0.3">
      <c r="A42" s="538" t="s">
        <v>170</v>
      </c>
      <c r="B42" s="539"/>
      <c r="C42" s="539"/>
      <c r="D42" s="539"/>
      <c r="E42" s="539"/>
      <c r="F42" s="539"/>
      <c r="G42" s="539"/>
      <c r="H42" s="539"/>
      <c r="I42" s="537"/>
    </row>
    <row r="43" spans="1:9" ht="308.39999999999998" customHeight="1" x14ac:dyDescent="0.3">
      <c r="A43" s="628" t="s">
        <v>376</v>
      </c>
      <c r="B43" s="631"/>
      <c r="C43" s="631"/>
      <c r="D43" s="631"/>
      <c r="E43" s="631"/>
      <c r="F43" s="631"/>
      <c r="G43" s="631"/>
      <c r="H43" s="631"/>
      <c r="I43" s="629"/>
    </row>
  </sheetData>
  <mergeCells count="9">
    <mergeCell ref="A43:I43"/>
    <mergeCell ref="A41:I41"/>
    <mergeCell ref="A42:I42"/>
    <mergeCell ref="B4:D4"/>
    <mergeCell ref="F4:G4"/>
    <mergeCell ref="H4:H5"/>
    <mergeCell ref="A36:I36"/>
    <mergeCell ref="A37:I37"/>
    <mergeCell ref="A39:I39"/>
  </mergeCells>
  <pageMargins left="0.19685039370078741" right="0.19685039370078741" top="0.39370078740157483" bottom="0.59055118110236227" header="0.31496062992125984" footer="0.31496062992125984"/>
  <pageSetup paperSize="8" fitToHeight="0" orientation="portrait" r:id="rId1"/>
  <headerFooter>
    <oddFooter>&amp;L&amp;"Arial Narrow,Standard"DFG, 9. April 2024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68"/>
  <sheetViews>
    <sheetView view="pageBreakPreview" zoomScale="115" zoomScaleNormal="160" zoomScaleSheetLayoutView="115" workbookViewId="0">
      <selection activeCell="I28" sqref="I28:M28"/>
    </sheetView>
    <sheetView view="pageBreakPreview" topLeftCell="A38" zoomScale="115" zoomScaleNormal="115" zoomScaleSheetLayoutView="100" workbookViewId="1">
      <selection activeCell="X17" sqref="X17"/>
    </sheetView>
  </sheetViews>
  <sheetFormatPr baseColWidth="10" defaultColWidth="11.453125" defaultRowHeight="13" x14ac:dyDescent="0.3"/>
  <cols>
    <col min="1" max="1" width="7" style="2" customWidth="1"/>
    <col min="2" max="3" width="11.453125" style="2" customWidth="1"/>
    <col min="4" max="4" width="12.90625" style="2" customWidth="1"/>
    <col min="5" max="6" width="11.453125" style="2" customWidth="1"/>
    <col min="7" max="7" width="10.453125" style="2" customWidth="1"/>
    <col min="8" max="8" width="11.453125" style="2" customWidth="1"/>
    <col min="9" max="9" width="10.453125" style="2" customWidth="1"/>
    <col min="10" max="10" width="9.6328125" style="2" customWidth="1"/>
    <col min="11" max="11" width="10.453125" style="2" customWidth="1"/>
    <col min="12" max="12" width="10.08984375" style="2" customWidth="1"/>
    <col min="13" max="13" width="12.453125" style="2" customWidth="1"/>
    <col min="14" max="15" width="9" style="2" customWidth="1"/>
    <col min="16" max="16" width="10" style="2" customWidth="1"/>
    <col min="17" max="17" width="10.54296875" style="2" customWidth="1"/>
    <col min="18" max="18" width="9.453125" style="2" customWidth="1"/>
    <col min="19" max="19" width="9" style="2" customWidth="1"/>
    <col min="20" max="20" width="10.453125" style="2" customWidth="1"/>
    <col min="21" max="21" width="9" style="2" customWidth="1"/>
    <col min="22" max="22" width="12.36328125" style="2" customWidth="1"/>
    <col min="23" max="23" width="10.36328125" style="2" customWidth="1"/>
    <col min="24" max="24" width="11.08984375" style="2" customWidth="1"/>
    <col min="25" max="25" width="10.36328125" style="2" customWidth="1"/>
    <col min="26" max="26" width="11.453125" style="2"/>
    <col min="27" max="27" width="17" style="2" bestFit="1" customWidth="1"/>
    <col min="28" max="16384" width="11.453125" style="2"/>
  </cols>
  <sheetData>
    <row r="1" spans="1:27" ht="15.5" x14ac:dyDescent="0.35">
      <c r="A1" s="1" t="s">
        <v>6</v>
      </c>
    </row>
    <row r="2" spans="1:27" x14ac:dyDescent="0.3">
      <c r="A2" s="2" t="s">
        <v>295</v>
      </c>
    </row>
    <row r="4" spans="1:27" ht="21" customHeight="1" x14ac:dyDescent="0.3">
      <c r="A4" s="7"/>
      <c r="B4" s="546" t="s">
        <v>7</v>
      </c>
      <c r="C4" s="549"/>
      <c r="D4" s="549"/>
      <c r="E4" s="550"/>
      <c r="F4" s="551" t="s">
        <v>8</v>
      </c>
      <c r="G4" s="552"/>
      <c r="H4" s="553"/>
      <c r="I4" s="546" t="s">
        <v>9</v>
      </c>
      <c r="J4" s="547"/>
      <c r="K4" s="547"/>
      <c r="L4" s="547"/>
      <c r="M4" s="548"/>
      <c r="N4" s="546" t="s">
        <v>10</v>
      </c>
      <c r="O4" s="549"/>
      <c r="P4" s="547"/>
      <c r="Q4" s="548"/>
      <c r="R4" s="546" t="s">
        <v>306</v>
      </c>
      <c r="S4" s="554"/>
      <c r="T4" s="554"/>
      <c r="U4" s="554"/>
      <c r="V4" s="555"/>
      <c r="W4" s="546" t="s">
        <v>21</v>
      </c>
      <c r="X4" s="547"/>
      <c r="Y4" s="548"/>
    </row>
    <row r="5" spans="1:27" s="5" customFormat="1" ht="28.5" customHeight="1" x14ac:dyDescent="0.3">
      <c r="A5" s="208" t="s">
        <v>4</v>
      </c>
      <c r="B5" s="8" t="s">
        <v>112</v>
      </c>
      <c r="C5" s="11" t="s">
        <v>16</v>
      </c>
      <c r="D5" s="11" t="s">
        <v>3</v>
      </c>
      <c r="E5" s="12" t="s">
        <v>17</v>
      </c>
      <c r="F5" s="8" t="s">
        <v>2</v>
      </c>
      <c r="G5" s="632" t="s">
        <v>88</v>
      </c>
      <c r="H5" s="12" t="s">
        <v>18</v>
      </c>
      <c r="I5" s="8" t="s">
        <v>79</v>
      </c>
      <c r="J5" s="11" t="s">
        <v>80</v>
      </c>
      <c r="K5" s="409" t="s">
        <v>305</v>
      </c>
      <c r="L5" s="11" t="s">
        <v>81</v>
      </c>
      <c r="M5" s="12" t="s">
        <v>19</v>
      </c>
      <c r="N5" s="8" t="s">
        <v>84</v>
      </c>
      <c r="O5" s="13" t="s">
        <v>85</v>
      </c>
      <c r="P5" s="11" t="s">
        <v>88</v>
      </c>
      <c r="Q5" s="12" t="s">
        <v>20</v>
      </c>
      <c r="R5" s="8" t="s">
        <v>79</v>
      </c>
      <c r="S5" s="11" t="s">
        <v>80</v>
      </c>
      <c r="T5" s="409" t="s">
        <v>305</v>
      </c>
      <c r="U5" s="11" t="s">
        <v>11</v>
      </c>
      <c r="V5" s="12" t="s">
        <v>304</v>
      </c>
      <c r="W5" s="15" t="s">
        <v>113</v>
      </c>
      <c r="X5" s="11" t="s">
        <v>319</v>
      </c>
      <c r="Y5" s="12" t="s">
        <v>173</v>
      </c>
    </row>
    <row r="6" spans="1:27" s="5" customFormat="1" ht="17.25" customHeight="1" x14ac:dyDescent="0.3">
      <c r="A6" s="155">
        <v>2013</v>
      </c>
      <c r="B6" s="156">
        <v>178.416</v>
      </c>
      <c r="C6" s="157">
        <v>160.80000000000001</v>
      </c>
      <c r="D6" s="157">
        <v>17.600000000000001</v>
      </c>
      <c r="E6" s="158">
        <f>B6/C6</f>
        <v>1.10955223880597</v>
      </c>
      <c r="F6" s="156">
        <f>B6</f>
        <v>178.416</v>
      </c>
      <c r="G6" s="157">
        <v>1908.5</v>
      </c>
      <c r="H6" s="158">
        <f t="shared" ref="H6:H11" si="0">F6/G6</f>
        <v>9.3484935813466077E-2</v>
      </c>
      <c r="I6" s="156">
        <v>983.6</v>
      </c>
      <c r="J6" s="157">
        <v>2639.1</v>
      </c>
      <c r="K6" s="157">
        <f t="shared" ref="K6:K12" si="1">I6-J6</f>
        <v>-1655.5</v>
      </c>
      <c r="L6" s="157">
        <v>704.5</v>
      </c>
      <c r="M6" s="158">
        <f t="shared" ref="M6:M11" si="2">K6/L6</f>
        <v>-2.3498935415188078</v>
      </c>
      <c r="N6" s="159">
        <v>2.4</v>
      </c>
      <c r="O6" s="160">
        <v>7.6</v>
      </c>
      <c r="P6" s="157">
        <v>1908.5</v>
      </c>
      <c r="Q6" s="158">
        <f t="shared" ref="Q6:Q11" si="3">(N6-O6)/P6</f>
        <v>-2.7246528687450873E-3</v>
      </c>
      <c r="R6" s="156">
        <f>I6</f>
        <v>983.6</v>
      </c>
      <c r="S6" s="157">
        <f>J6</f>
        <v>2639.1</v>
      </c>
      <c r="T6" s="157">
        <f t="shared" ref="T6:T14" si="4">R6-S6</f>
        <v>-1655.5</v>
      </c>
      <c r="U6" s="161">
        <v>194959</v>
      </c>
      <c r="V6" s="162">
        <f>(R6-S6)/U6*1000000</f>
        <v>-8491.5289881462268</v>
      </c>
      <c r="W6" s="163">
        <f t="shared" ref="W6:W12" si="5">R55</f>
        <v>1883.3659329999998</v>
      </c>
      <c r="X6" s="157">
        <v>14028.606540000001</v>
      </c>
      <c r="Y6" s="164">
        <f t="shared" ref="Y6:Y12" si="6">W6/X6</f>
        <v>0.13425181807116246</v>
      </c>
      <c r="AA6" s="153"/>
    </row>
    <row r="7" spans="1:27" s="5" customFormat="1" ht="17.25" customHeight="1" x14ac:dyDescent="0.3">
      <c r="A7" s="165">
        <v>2014</v>
      </c>
      <c r="B7" s="166">
        <v>178.3</v>
      </c>
      <c r="C7" s="167">
        <v>128</v>
      </c>
      <c r="D7" s="167">
        <v>50.3</v>
      </c>
      <c r="E7" s="168">
        <f t="shared" ref="E7:E12" si="7">B7/C7</f>
        <v>1.3929687500000001</v>
      </c>
      <c r="F7" s="166">
        <f t="shared" ref="F7:F12" si="8">B7</f>
        <v>178.3</v>
      </c>
      <c r="G7" s="167">
        <v>1981.8</v>
      </c>
      <c r="H7" s="168">
        <f t="shared" si="0"/>
        <v>8.9968715309314773E-2</v>
      </c>
      <c r="I7" s="166">
        <v>1084.6590000000001</v>
      </c>
      <c r="J7" s="167">
        <v>2794</v>
      </c>
      <c r="K7" s="167">
        <f t="shared" si="1"/>
        <v>-1709.3409999999999</v>
      </c>
      <c r="L7" s="167">
        <v>761.3</v>
      </c>
      <c r="M7" s="168">
        <f t="shared" si="2"/>
        <v>-2.2452922632339418</v>
      </c>
      <c r="N7" s="169">
        <v>1.6</v>
      </c>
      <c r="O7" s="170">
        <v>6.9</v>
      </c>
      <c r="P7" s="167">
        <v>1981.8</v>
      </c>
      <c r="Q7" s="168">
        <f t="shared" si="3"/>
        <v>-2.6743364618024021E-3</v>
      </c>
      <c r="R7" s="166">
        <f t="shared" ref="R7:S12" si="9">I7</f>
        <v>1084.6590000000001</v>
      </c>
      <c r="S7" s="167">
        <f t="shared" si="9"/>
        <v>2794</v>
      </c>
      <c r="T7" s="167">
        <f>R7-S7</f>
        <v>-1709.3409999999999</v>
      </c>
      <c r="U7" s="171">
        <v>195886</v>
      </c>
      <c r="V7" s="172">
        <f t="shared" ref="V7:V11" si="10">(R7-S7)/U7*1000000</f>
        <v>-8726.2029956199021</v>
      </c>
      <c r="W7" s="173">
        <f t="shared" si="5"/>
        <v>1893.4087169999993</v>
      </c>
      <c r="X7" s="167">
        <v>14125.80718</v>
      </c>
      <c r="Y7" s="174">
        <f t="shared" si="6"/>
        <v>0.13403897510938553</v>
      </c>
      <c r="AA7" s="153"/>
    </row>
    <row r="8" spans="1:27" s="5" customFormat="1" ht="17.25" customHeight="1" x14ac:dyDescent="0.3">
      <c r="A8" s="165">
        <v>2015</v>
      </c>
      <c r="B8" s="166">
        <v>211.8</v>
      </c>
      <c r="C8" s="167">
        <v>163.30000000000001</v>
      </c>
      <c r="D8" s="167">
        <v>48.5</v>
      </c>
      <c r="E8" s="168">
        <f t="shared" si="7"/>
        <v>1.2969993876301287</v>
      </c>
      <c r="F8" s="166">
        <f t="shared" si="8"/>
        <v>211.8</v>
      </c>
      <c r="G8" s="167">
        <v>2062.6</v>
      </c>
      <c r="H8" s="168">
        <f t="shared" si="0"/>
        <v>0.10268593037913314</v>
      </c>
      <c r="I8" s="166">
        <v>1391.3</v>
      </c>
      <c r="J8" s="167">
        <v>2698.8</v>
      </c>
      <c r="K8" s="167">
        <f t="shared" si="1"/>
        <v>-1307.5000000000002</v>
      </c>
      <c r="L8" s="167">
        <v>744.2</v>
      </c>
      <c r="M8" s="168">
        <f t="shared" si="2"/>
        <v>-1.7569201827465737</v>
      </c>
      <c r="N8" s="169">
        <v>0.9</v>
      </c>
      <c r="O8" s="170">
        <v>3.3</v>
      </c>
      <c r="P8" s="167">
        <v>2062.6</v>
      </c>
      <c r="Q8" s="168">
        <f t="shared" si="3"/>
        <v>-1.1635799476389023E-3</v>
      </c>
      <c r="R8" s="166">
        <f t="shared" si="9"/>
        <v>1391.3</v>
      </c>
      <c r="S8" s="167">
        <f t="shared" si="9"/>
        <v>2698.8</v>
      </c>
      <c r="T8" s="167">
        <f t="shared" si="4"/>
        <v>-1307.5000000000002</v>
      </c>
      <c r="U8" s="171">
        <v>196610</v>
      </c>
      <c r="V8" s="172">
        <f t="shared" si="10"/>
        <v>-6650.2212501907343</v>
      </c>
      <c r="W8" s="175">
        <f t="shared" si="5"/>
        <v>1923.1227699999995</v>
      </c>
      <c r="X8" s="167">
        <v>14011.725570000001</v>
      </c>
      <c r="Y8" s="174">
        <f t="shared" si="6"/>
        <v>0.13725095887672309</v>
      </c>
      <c r="AA8" s="153"/>
    </row>
    <row r="9" spans="1:27" s="5" customFormat="1" ht="17.25" customHeight="1" x14ac:dyDescent="0.3">
      <c r="A9" s="176">
        <v>2016</v>
      </c>
      <c r="B9" s="177">
        <v>183.2</v>
      </c>
      <c r="C9" s="178">
        <v>207.2</v>
      </c>
      <c r="D9" s="178">
        <v>-24</v>
      </c>
      <c r="E9" s="179">
        <f t="shared" si="7"/>
        <v>0.88416988416988418</v>
      </c>
      <c r="F9" s="177">
        <f t="shared" si="8"/>
        <v>183.2</v>
      </c>
      <c r="G9" s="178">
        <v>1853.2</v>
      </c>
      <c r="H9" s="179">
        <f t="shared" si="0"/>
        <v>9.8856032808115682E-2</v>
      </c>
      <c r="I9" s="177">
        <v>1484.5</v>
      </c>
      <c r="J9" s="178">
        <v>2748.3</v>
      </c>
      <c r="K9" s="178">
        <f t="shared" si="1"/>
        <v>-1263.8000000000002</v>
      </c>
      <c r="L9" s="178">
        <v>751.8</v>
      </c>
      <c r="M9" s="179">
        <f t="shared" si="2"/>
        <v>-1.6810321894120781</v>
      </c>
      <c r="N9" s="180">
        <v>1</v>
      </c>
      <c r="O9" s="181">
        <v>3.7</v>
      </c>
      <c r="P9" s="178">
        <v>1853.2</v>
      </c>
      <c r="Q9" s="179">
        <f t="shared" si="3"/>
        <v>-1.4569393481545436E-3</v>
      </c>
      <c r="R9" s="177">
        <f t="shared" si="9"/>
        <v>1484.5</v>
      </c>
      <c r="S9" s="178">
        <f t="shared" si="9"/>
        <v>2748.3</v>
      </c>
      <c r="T9" s="178">
        <f t="shared" si="4"/>
        <v>-1263.8000000000002</v>
      </c>
      <c r="U9" s="182">
        <v>197550</v>
      </c>
      <c r="V9" s="183">
        <f t="shared" si="10"/>
        <v>-6397.3677549987351</v>
      </c>
      <c r="W9" s="177">
        <f t="shared" si="5"/>
        <v>1945.4049659999998</v>
      </c>
      <c r="X9" s="178">
        <v>14100.51146</v>
      </c>
      <c r="Y9" s="184">
        <f>W9/X9</f>
        <v>0.13796697882333411</v>
      </c>
      <c r="AA9" s="153"/>
    </row>
    <row r="10" spans="1:27" s="5" customFormat="1" ht="17.25" customHeight="1" x14ac:dyDescent="0.3">
      <c r="A10" s="185">
        <v>2017</v>
      </c>
      <c r="B10" s="186">
        <v>244.9</v>
      </c>
      <c r="C10" s="187">
        <v>221.4</v>
      </c>
      <c r="D10" s="187">
        <v>23.4</v>
      </c>
      <c r="E10" s="188">
        <f t="shared" si="7"/>
        <v>1.1061427280939475</v>
      </c>
      <c r="F10" s="186">
        <f>B10</f>
        <v>244.9</v>
      </c>
      <c r="G10" s="187">
        <v>1949.1</v>
      </c>
      <c r="H10" s="188">
        <f t="shared" si="0"/>
        <v>0.12564773485198297</v>
      </c>
      <c r="I10" s="186">
        <v>1624</v>
      </c>
      <c r="J10" s="187">
        <v>2956.5</v>
      </c>
      <c r="K10" s="187">
        <f t="shared" si="1"/>
        <v>-1332.5</v>
      </c>
      <c r="L10" s="187">
        <v>775.2</v>
      </c>
      <c r="M10" s="188">
        <f t="shared" si="2"/>
        <v>-1.7189112487100102</v>
      </c>
      <c r="N10" s="189">
        <v>1</v>
      </c>
      <c r="O10" s="190">
        <v>4</v>
      </c>
      <c r="P10" s="187">
        <v>1949.1</v>
      </c>
      <c r="Q10" s="188">
        <f t="shared" si="3"/>
        <v>-1.539171925504079E-3</v>
      </c>
      <c r="R10" s="186">
        <f t="shared" si="9"/>
        <v>1624</v>
      </c>
      <c r="S10" s="187">
        <f t="shared" si="9"/>
        <v>2956.5</v>
      </c>
      <c r="T10" s="187">
        <f t="shared" si="4"/>
        <v>-1332.5</v>
      </c>
      <c r="U10" s="191">
        <v>197888</v>
      </c>
      <c r="V10" s="192">
        <f t="shared" si="10"/>
        <v>-6733.6068887451493</v>
      </c>
      <c r="W10" s="186">
        <f t="shared" si="5"/>
        <v>1985.3803160000002</v>
      </c>
      <c r="X10" s="187">
        <v>14131.66518</v>
      </c>
      <c r="Y10" s="193">
        <f t="shared" si="6"/>
        <v>0.14049160454281301</v>
      </c>
      <c r="AA10" s="68"/>
    </row>
    <row r="11" spans="1:27" s="5" customFormat="1" ht="17.25" customHeight="1" x14ac:dyDescent="0.3">
      <c r="A11" s="165">
        <v>2018</v>
      </c>
      <c r="B11" s="166">
        <v>286</v>
      </c>
      <c r="C11" s="167">
        <v>239.7</v>
      </c>
      <c r="D11" s="167">
        <f t="shared" ref="D11:D15" si="11">B11-C11</f>
        <v>46.300000000000011</v>
      </c>
      <c r="E11" s="168">
        <f t="shared" si="7"/>
        <v>1.1931581143095538</v>
      </c>
      <c r="F11" s="166">
        <f t="shared" si="8"/>
        <v>286</v>
      </c>
      <c r="G11" s="167">
        <v>1953</v>
      </c>
      <c r="H11" s="168">
        <f t="shared" si="0"/>
        <v>0.14644137224782386</v>
      </c>
      <c r="I11" s="166">
        <v>1505.4</v>
      </c>
      <c r="J11" s="167">
        <v>2862.7</v>
      </c>
      <c r="K11" s="167">
        <f t="shared" si="1"/>
        <v>-1357.2999999999997</v>
      </c>
      <c r="L11" s="167">
        <v>803.3</v>
      </c>
      <c r="M11" s="168">
        <f t="shared" si="2"/>
        <v>-1.6896551724137929</v>
      </c>
      <c r="N11" s="169">
        <v>0.9</v>
      </c>
      <c r="O11" s="170">
        <v>7.2</v>
      </c>
      <c r="P11" s="167">
        <v>1953</v>
      </c>
      <c r="Q11" s="168">
        <f t="shared" si="3"/>
        <v>-3.2258064516129032E-3</v>
      </c>
      <c r="R11" s="166">
        <f t="shared" si="9"/>
        <v>1505.4</v>
      </c>
      <c r="S11" s="167">
        <f t="shared" si="9"/>
        <v>2862.7</v>
      </c>
      <c r="T11" s="167">
        <f t="shared" si="4"/>
        <v>-1357.2999999999997</v>
      </c>
      <c r="U11" s="171">
        <v>198379</v>
      </c>
      <c r="V11" s="172">
        <f t="shared" si="10"/>
        <v>-6841.9540374737226</v>
      </c>
      <c r="W11" s="166">
        <f t="shared" si="5"/>
        <v>1996.984285</v>
      </c>
      <c r="X11" s="167">
        <v>14501.147709999999</v>
      </c>
      <c r="Y11" s="174">
        <f t="shared" si="6"/>
        <v>0.1377121538885421</v>
      </c>
      <c r="AA11" s="68"/>
    </row>
    <row r="12" spans="1:27" s="5" customFormat="1" ht="17.25" customHeight="1" x14ac:dyDescent="0.3">
      <c r="A12" s="165">
        <v>2019</v>
      </c>
      <c r="B12" s="166">
        <v>300.31299999999999</v>
      </c>
      <c r="C12" s="167">
        <v>227.07300000000001</v>
      </c>
      <c r="D12" s="167">
        <f t="shared" si="11"/>
        <v>73.239999999999981</v>
      </c>
      <c r="E12" s="168">
        <f t="shared" si="7"/>
        <v>1.3225394476666092</v>
      </c>
      <c r="F12" s="166">
        <f t="shared" si="8"/>
        <v>300.31299999999999</v>
      </c>
      <c r="G12" s="167">
        <v>1969.4737259999999</v>
      </c>
      <c r="H12" s="168">
        <f t="shared" ref="H12:H18" si="12">F12/G12</f>
        <v>0.15248388238716723</v>
      </c>
      <c r="I12" s="166">
        <v>1533.3</v>
      </c>
      <c r="J12" s="167">
        <v>2897.2190000000001</v>
      </c>
      <c r="K12" s="167">
        <f t="shared" si="1"/>
        <v>-1363.9190000000001</v>
      </c>
      <c r="L12" s="167">
        <v>806.9</v>
      </c>
      <c r="M12" s="168">
        <f t="shared" ref="M12:M18" si="13">K12/L12</f>
        <v>-1.690319742223324</v>
      </c>
      <c r="N12" s="169">
        <v>0.73435899999999998</v>
      </c>
      <c r="O12" s="194">
        <v>4.0932029999999999</v>
      </c>
      <c r="P12" s="167">
        <f>G12</f>
        <v>1969.4737259999999</v>
      </c>
      <c r="Q12" s="168">
        <f>(N12-O12)/P12</f>
        <v>-1.7054525560093712E-3</v>
      </c>
      <c r="R12" s="166">
        <f t="shared" si="9"/>
        <v>1533.3</v>
      </c>
      <c r="S12" s="167">
        <f t="shared" si="9"/>
        <v>2897.2190000000001</v>
      </c>
      <c r="T12" s="167">
        <f t="shared" si="4"/>
        <v>-1363.9190000000001</v>
      </c>
      <c r="U12" s="171">
        <v>199021</v>
      </c>
      <c r="V12" s="172">
        <f>(R12-S12)/U12*1000000</f>
        <v>-6853.1411258108446</v>
      </c>
      <c r="W12" s="166">
        <f t="shared" si="5"/>
        <v>2006.4808209999992</v>
      </c>
      <c r="X12" s="167">
        <v>14937.000480000001</v>
      </c>
      <c r="Y12" s="168">
        <f t="shared" si="6"/>
        <v>0.13432956795352524</v>
      </c>
      <c r="AA12" s="68"/>
    </row>
    <row r="13" spans="1:27" s="5" customFormat="1" ht="17.25" customHeight="1" x14ac:dyDescent="0.3">
      <c r="A13" s="195">
        <v>2020</v>
      </c>
      <c r="B13" s="196">
        <v>270.82132899999999</v>
      </c>
      <c r="C13" s="197">
        <v>200.48964899999999</v>
      </c>
      <c r="D13" s="197">
        <f t="shared" si="11"/>
        <v>70.331680000000006</v>
      </c>
      <c r="E13" s="198">
        <f t="shared" ref="E13:E18" si="14">B13/C13</f>
        <v>1.350799556739211</v>
      </c>
      <c r="F13" s="196">
        <f t="shared" ref="F13:F18" si="15">B13</f>
        <v>270.82132899999999</v>
      </c>
      <c r="G13" s="197">
        <v>2065.0446179999999</v>
      </c>
      <c r="H13" s="198">
        <f t="shared" si="12"/>
        <v>0.13114550970927255</v>
      </c>
      <c r="I13" s="196">
        <v>1517.813799</v>
      </c>
      <c r="J13" s="197">
        <v>2987.1305390000002</v>
      </c>
      <c r="K13" s="197">
        <f t="shared" ref="K13:K18" si="16">I13-J13</f>
        <v>-1469.3167400000002</v>
      </c>
      <c r="L13" s="197">
        <v>836.04792499999996</v>
      </c>
      <c r="M13" s="198">
        <f t="shared" si="13"/>
        <v>-1.7574551602409638</v>
      </c>
      <c r="N13" s="199">
        <v>1.2680149999999999</v>
      </c>
      <c r="O13" s="200">
        <v>3.7542490000000002</v>
      </c>
      <c r="P13" s="197">
        <f>G13</f>
        <v>2065.0446179999999</v>
      </c>
      <c r="Q13" s="198">
        <f t="shared" ref="Q13:Q18" si="17">(N13-O13)/P13</f>
        <v>-1.2039613954723766E-3</v>
      </c>
      <c r="R13" s="196">
        <f t="shared" ref="R13:R16" si="18">I13</f>
        <v>1517.813799</v>
      </c>
      <c r="S13" s="197">
        <f t="shared" ref="S13:S16" si="19">J13</f>
        <v>2987.1305390000002</v>
      </c>
      <c r="T13" s="197">
        <f t="shared" si="4"/>
        <v>-1469.3167400000002</v>
      </c>
      <c r="U13" s="201">
        <v>200096</v>
      </c>
      <c r="V13" s="202">
        <f t="shared" ref="V13:V18" si="20">(R13-S13)/U13*1000000</f>
        <v>-7343.0590316648013</v>
      </c>
      <c r="W13" s="196">
        <f>R62</f>
        <v>2044.9514699999993</v>
      </c>
      <c r="X13" s="197">
        <v>14627.09554</v>
      </c>
      <c r="Y13" s="198">
        <f t="shared" ref="Y13:Y18" si="21">W13/X13</f>
        <v>0.13980570950724774</v>
      </c>
      <c r="AA13" s="68"/>
    </row>
    <row r="14" spans="1:27" s="5" customFormat="1" ht="17.25" customHeight="1" x14ac:dyDescent="0.3">
      <c r="A14" s="185">
        <v>2021</v>
      </c>
      <c r="B14" s="186">
        <v>332.06427200000002</v>
      </c>
      <c r="C14" s="187">
        <v>189.397232</v>
      </c>
      <c r="D14" s="187">
        <f t="shared" si="11"/>
        <v>142.66704000000001</v>
      </c>
      <c r="E14" s="188">
        <f t="shared" si="14"/>
        <v>1.7532688756507275</v>
      </c>
      <c r="F14" s="186">
        <f t="shared" si="15"/>
        <v>332.06427200000002</v>
      </c>
      <c r="G14" s="187">
        <v>2343.656935</v>
      </c>
      <c r="H14" s="188">
        <f t="shared" si="12"/>
        <v>0.14168638209841067</v>
      </c>
      <c r="I14" s="186">
        <v>1687.183734</v>
      </c>
      <c r="J14" s="187">
        <v>3352.167868</v>
      </c>
      <c r="K14" s="187">
        <f t="shared" si="16"/>
        <v>-1664.984134</v>
      </c>
      <c r="L14" s="187">
        <v>819.23738700000001</v>
      </c>
      <c r="M14" s="188">
        <f t="shared" si="13"/>
        <v>-2.0323585817989529</v>
      </c>
      <c r="N14" s="203">
        <v>0.823133</v>
      </c>
      <c r="O14" s="204">
        <v>2.8764259999999999</v>
      </c>
      <c r="P14" s="205">
        <f>G14</f>
        <v>2343.656935</v>
      </c>
      <c r="Q14" s="193">
        <f t="shared" si="17"/>
        <v>-8.7610646820201099E-4</v>
      </c>
      <c r="R14" s="206">
        <f t="shared" si="18"/>
        <v>1687.183734</v>
      </c>
      <c r="S14" s="205">
        <f t="shared" si="19"/>
        <v>3352.167868</v>
      </c>
      <c r="T14" s="187">
        <f t="shared" si="4"/>
        <v>-1664.984134</v>
      </c>
      <c r="U14" s="191">
        <v>201376</v>
      </c>
      <c r="V14" s="207">
        <f t="shared" si="20"/>
        <v>-8268.0365783410125</v>
      </c>
      <c r="W14" s="206">
        <f>R63</f>
        <v>2272.3109870000003</v>
      </c>
      <c r="X14" s="205">
        <v>15542.004000000001</v>
      </c>
      <c r="Y14" s="193">
        <f t="shared" si="21"/>
        <v>0.14620450406524155</v>
      </c>
      <c r="AA14" s="68"/>
    </row>
    <row r="15" spans="1:27" s="5" customFormat="1" ht="17.25" customHeight="1" x14ac:dyDescent="0.3">
      <c r="A15" s="155">
        <v>2022</v>
      </c>
      <c r="B15" s="156">
        <v>418.86588826000002</v>
      </c>
      <c r="C15" s="157">
        <v>196.36730926000001</v>
      </c>
      <c r="D15" s="157">
        <f t="shared" si="11"/>
        <v>222.49857900000001</v>
      </c>
      <c r="E15" s="158">
        <f t="shared" si="14"/>
        <v>2.1330734216325227</v>
      </c>
      <c r="F15" s="156">
        <f t="shared" si="15"/>
        <v>418.86588826000002</v>
      </c>
      <c r="G15" s="157">
        <v>2242.79384639</v>
      </c>
      <c r="H15" s="158">
        <f t="shared" si="12"/>
        <v>0.18676076222262086</v>
      </c>
      <c r="I15" s="156">
        <v>1519.08053522</v>
      </c>
      <c r="J15" s="157">
        <v>3446.8883226200001</v>
      </c>
      <c r="K15" s="157">
        <f t="shared" si="16"/>
        <v>-1927.8077874000001</v>
      </c>
      <c r="L15" s="157">
        <v>910.47530193</v>
      </c>
      <c r="M15" s="158">
        <f t="shared" si="13"/>
        <v>-2.1173641759567636</v>
      </c>
      <c r="N15" s="410">
        <v>1.00691168</v>
      </c>
      <c r="O15" s="411">
        <v>9.3751973599999996</v>
      </c>
      <c r="P15" s="163">
        <f>G15</f>
        <v>2242.79384639</v>
      </c>
      <c r="Q15" s="164">
        <f t="shared" si="17"/>
        <v>-3.7311880864438736E-3</v>
      </c>
      <c r="R15" s="412">
        <f t="shared" si="18"/>
        <v>1519.08053522</v>
      </c>
      <c r="S15" s="163">
        <f t="shared" si="19"/>
        <v>3446.8883226200001</v>
      </c>
      <c r="T15" s="157">
        <f t="shared" ref="T15" si="22">R15-S15</f>
        <v>-1927.8077874000001</v>
      </c>
      <c r="U15" s="182">
        <v>202538</v>
      </c>
      <c r="V15" s="413">
        <f t="shared" si="20"/>
        <v>-9518.2523151211135</v>
      </c>
      <c r="W15" s="412">
        <f>R64</f>
        <v>2052.84938431</v>
      </c>
      <c r="X15" s="163">
        <v>16725.53</v>
      </c>
      <c r="Y15" s="164">
        <f t="shared" si="21"/>
        <v>0.12273747883086517</v>
      </c>
      <c r="AA15" s="68"/>
    </row>
    <row r="16" spans="1:27" s="5" customFormat="1" ht="17.25" customHeight="1" x14ac:dyDescent="0.3">
      <c r="A16" s="176">
        <v>2023</v>
      </c>
      <c r="B16" s="177">
        <v>347.08082343000001</v>
      </c>
      <c r="C16" s="178">
        <v>242.46214422</v>
      </c>
      <c r="D16" s="178">
        <f t="shared" ref="D16:D18" si="23">B16-C16</f>
        <v>104.61867921000001</v>
      </c>
      <c r="E16" s="179">
        <f t="shared" si="14"/>
        <v>1.4314845913227321</v>
      </c>
      <c r="F16" s="156">
        <f t="shared" si="15"/>
        <v>347.08082343000001</v>
      </c>
      <c r="G16" s="178">
        <v>2196.5823220399998</v>
      </c>
      <c r="H16" s="179">
        <f t="shared" si="12"/>
        <v>0.15800947678922442</v>
      </c>
      <c r="I16" s="177">
        <v>1550.1390752</v>
      </c>
      <c r="J16" s="178">
        <v>3604.4784754399998</v>
      </c>
      <c r="K16" s="178">
        <f t="shared" si="16"/>
        <v>-2054.33940024</v>
      </c>
      <c r="L16" s="178">
        <v>940.35758094000005</v>
      </c>
      <c r="M16" s="179">
        <f t="shared" si="13"/>
        <v>-2.1846363998963478</v>
      </c>
      <c r="N16" s="485">
        <v>1.7608441399999999</v>
      </c>
      <c r="O16" s="486">
        <v>18.702217600000001</v>
      </c>
      <c r="P16" s="487">
        <f>G16</f>
        <v>2196.5823220399998</v>
      </c>
      <c r="Q16" s="184">
        <f t="shared" si="17"/>
        <v>-7.7126057557753112E-3</v>
      </c>
      <c r="R16" s="488">
        <f t="shared" si="18"/>
        <v>1550.1390752</v>
      </c>
      <c r="S16" s="487">
        <f t="shared" si="19"/>
        <v>3604.4784754399998</v>
      </c>
      <c r="T16" s="178">
        <f>R16-S16</f>
        <v>-2054.33940024</v>
      </c>
      <c r="U16" s="182">
        <v>204888</v>
      </c>
      <c r="V16" s="489">
        <f t="shared" si="20"/>
        <v>-10026.645778376478</v>
      </c>
      <c r="W16" s="412">
        <f>R65</f>
        <v>2190.3794042</v>
      </c>
      <c r="X16" s="634">
        <v>17429.851661671</v>
      </c>
      <c r="Y16" s="184">
        <f>W16/X16</f>
        <v>0.12566827570981223</v>
      </c>
      <c r="AA16" s="68"/>
    </row>
    <row r="17" spans="1:27" s="5" customFormat="1" ht="17.25" customHeight="1" x14ac:dyDescent="0.3">
      <c r="A17" s="195">
        <v>2024</v>
      </c>
      <c r="B17" s="196">
        <v>316.96962386999996</v>
      </c>
      <c r="C17" s="197">
        <v>258.89324199999999</v>
      </c>
      <c r="D17" s="197">
        <f t="shared" ref="D17" si="24">B17-C17</f>
        <v>58.076381869999977</v>
      </c>
      <c r="E17" s="198">
        <f>B17/C17</f>
        <v>1.2243256000865406</v>
      </c>
      <c r="F17" s="156">
        <f t="shared" si="15"/>
        <v>316.96962386999996</v>
      </c>
      <c r="G17" s="197">
        <v>2289.5498354699998</v>
      </c>
      <c r="H17" s="198">
        <f t="shared" ref="H17" si="25">F17/G17</f>
        <v>0.13844189759902401</v>
      </c>
      <c r="I17" s="196">
        <v>1531.0263213799999</v>
      </c>
      <c r="J17" s="197">
        <v>3641.82780473</v>
      </c>
      <c r="K17" s="197">
        <f t="shared" ref="K17" si="26">I17-J17</f>
        <v>-2110.8014833500001</v>
      </c>
      <c r="L17" s="197">
        <v>987.70458959999996</v>
      </c>
      <c r="M17" s="198">
        <f t="shared" ref="M17" si="27">K17/L17</f>
        <v>-2.1370777311107072</v>
      </c>
      <c r="N17" s="199">
        <v>2.2810975199999999</v>
      </c>
      <c r="O17" s="200">
        <v>24.0996539</v>
      </c>
      <c r="P17" s="197">
        <f t="shared" ref="P17:P18" si="28">G17</f>
        <v>2289.5498354699998</v>
      </c>
      <c r="Q17" s="198">
        <f t="shared" ref="Q17" si="29">(N17-O17)/P17</f>
        <v>-9.5296271965711887E-3</v>
      </c>
      <c r="R17" s="196">
        <f>I17</f>
        <v>1531.0263213799999</v>
      </c>
      <c r="S17" s="197">
        <f>J17</f>
        <v>3641.82780473</v>
      </c>
      <c r="T17" s="197">
        <f>R17-S17</f>
        <v>-2110.8014833500001</v>
      </c>
      <c r="U17" s="636">
        <v>206138</v>
      </c>
      <c r="V17" s="202">
        <f t="shared" ref="V17" si="30">(R17-S17)/U17*1000000</f>
        <v>-10239.749504458179</v>
      </c>
      <c r="W17" s="196">
        <f t="shared" ref="W17" si="31">R65</f>
        <v>2190.3794042</v>
      </c>
      <c r="X17" s="635">
        <v>17782.591358378999</v>
      </c>
      <c r="Y17" s="198">
        <f t="shared" ref="Y17" si="32">W17/X17</f>
        <v>0.12317549000910448</v>
      </c>
      <c r="AA17" s="68"/>
    </row>
    <row r="18" spans="1:27" s="5" customFormat="1" ht="17.25" customHeight="1" x14ac:dyDescent="0.3">
      <c r="A18" s="484">
        <v>2025</v>
      </c>
      <c r="B18" s="492">
        <v>240.66672529999985</v>
      </c>
      <c r="C18" s="493">
        <v>301.01431831000002</v>
      </c>
      <c r="D18" s="343">
        <f t="shared" si="23"/>
        <v>-60.347593010000168</v>
      </c>
      <c r="E18" s="494">
        <f t="shared" si="14"/>
        <v>0.79951919447283193</v>
      </c>
      <c r="F18" s="493">
        <f t="shared" si="15"/>
        <v>240.66672529999985</v>
      </c>
      <c r="G18" s="633">
        <v>2268.1112023300002</v>
      </c>
      <c r="H18" s="494">
        <f t="shared" si="12"/>
        <v>0.10610887378571481</v>
      </c>
      <c r="I18" s="492">
        <v>1685.72464603</v>
      </c>
      <c r="J18" s="493">
        <v>3729.9379045999999</v>
      </c>
      <c r="K18" s="343">
        <f t="shared" si="16"/>
        <v>-2044.2132585699999</v>
      </c>
      <c r="L18" s="493">
        <v>954.29381159000002</v>
      </c>
      <c r="M18" s="494">
        <f t="shared" si="13"/>
        <v>-2.1421214658869334</v>
      </c>
      <c r="N18" s="495">
        <v>2.3138652899999999</v>
      </c>
      <c r="O18" s="496">
        <v>21.652331870000001</v>
      </c>
      <c r="P18" s="633">
        <f t="shared" si="28"/>
        <v>2268.1112023300002</v>
      </c>
      <c r="Q18" s="494">
        <f t="shared" si="17"/>
        <v>-8.5262426992705892E-3</v>
      </c>
      <c r="R18" s="490">
        <f>I18</f>
        <v>1685.72464603</v>
      </c>
      <c r="S18" s="343">
        <f>J18</f>
        <v>3729.9379045999999</v>
      </c>
      <c r="T18" s="343">
        <f>R18-S18</f>
        <v>-2044.2132585699999</v>
      </c>
      <c r="U18" s="498">
        <v>206138</v>
      </c>
      <c r="V18" s="497">
        <f t="shared" si="20"/>
        <v>-9916.7220918510902</v>
      </c>
      <c r="W18" s="493">
        <f>R67</f>
        <v>2445.5410309600006</v>
      </c>
      <c r="X18" s="493">
        <v>18035.422133684999</v>
      </c>
      <c r="Y18" s="494">
        <f t="shared" si="21"/>
        <v>0.13559655065641246</v>
      </c>
      <c r="AA18" s="68"/>
    </row>
    <row r="19" spans="1:27" s="5" customFormat="1" ht="3.75" customHeight="1" x14ac:dyDescent="0.3">
      <c r="A19" s="101"/>
      <c r="B19" s="68"/>
      <c r="C19" s="68"/>
      <c r="D19" s="68"/>
      <c r="E19" s="113"/>
      <c r="F19" s="68"/>
      <c r="G19" s="68"/>
      <c r="H19" s="113"/>
      <c r="I19" s="68"/>
      <c r="J19" s="68"/>
      <c r="K19" s="68"/>
      <c r="L19" s="68"/>
      <c r="M19" s="113"/>
      <c r="N19" s="112"/>
      <c r="O19" s="112"/>
      <c r="P19" s="69"/>
      <c r="Q19" s="114"/>
      <c r="R19" s="69"/>
      <c r="S19" s="69"/>
      <c r="T19" s="69"/>
      <c r="U19" s="115"/>
      <c r="V19" s="115"/>
      <c r="W19" s="69"/>
      <c r="X19" s="69"/>
      <c r="Y19" s="114"/>
    </row>
    <row r="20" spans="1:27" x14ac:dyDescent="0.3">
      <c r="A20" s="458" t="s">
        <v>13</v>
      </c>
    </row>
    <row r="21" spans="1:27" ht="27.5" customHeight="1" x14ac:dyDescent="0.3">
      <c r="A21" s="588" t="s">
        <v>377</v>
      </c>
      <c r="B21" s="588"/>
      <c r="C21" s="588"/>
      <c r="D21" s="588"/>
      <c r="E21" s="588"/>
      <c r="F21" s="588"/>
      <c r="G21" s="588"/>
      <c r="H21" s="588"/>
      <c r="I21" s="588"/>
      <c r="J21" s="588"/>
      <c r="K21" s="588"/>
      <c r="L21" s="588"/>
      <c r="M21" s="588"/>
      <c r="N21" s="588"/>
      <c r="O21" s="588"/>
      <c r="P21" s="588"/>
      <c r="Q21" s="588"/>
      <c r="R21" s="588"/>
      <c r="S21" s="588"/>
      <c r="T21" s="588"/>
      <c r="U21" s="588"/>
      <c r="V21" s="588"/>
      <c r="W21" s="588"/>
      <c r="X21" s="588"/>
      <c r="Y21" s="588"/>
    </row>
    <row r="22" spans="1:27" ht="15" x14ac:dyDescent="0.3">
      <c r="A22" s="458" t="s">
        <v>361</v>
      </c>
    </row>
    <row r="24" spans="1:27" x14ac:dyDescent="0.3">
      <c r="A24" s="601" t="s">
        <v>52</v>
      </c>
      <c r="B24" s="556" t="s">
        <v>7</v>
      </c>
      <c r="C24" s="567"/>
      <c r="D24" s="567"/>
      <c r="E24" s="568"/>
      <c r="F24" s="569" t="s">
        <v>8</v>
      </c>
      <c r="G24" s="570"/>
      <c r="H24" s="571"/>
      <c r="I24" s="556" t="s">
        <v>9</v>
      </c>
      <c r="J24" s="557"/>
      <c r="K24" s="557"/>
      <c r="L24" s="557"/>
      <c r="M24" s="558"/>
      <c r="N24" s="556" t="s">
        <v>10</v>
      </c>
      <c r="O24" s="567"/>
      <c r="P24" s="557"/>
      <c r="Q24" s="558"/>
      <c r="R24" s="556" t="s">
        <v>306</v>
      </c>
      <c r="S24" s="572"/>
      <c r="T24" s="572"/>
      <c r="U24" s="572"/>
      <c r="V24" s="573"/>
      <c r="W24" s="556" t="s">
        <v>21</v>
      </c>
      <c r="X24" s="557"/>
      <c r="Y24" s="558"/>
    </row>
    <row r="25" spans="1:27" s="14" customFormat="1" x14ac:dyDescent="0.3">
      <c r="A25" s="602"/>
      <c r="B25" s="559" t="s">
        <v>37</v>
      </c>
      <c r="C25" s="560"/>
      <c r="D25" s="560"/>
      <c r="E25" s="561"/>
      <c r="F25" s="562" t="s">
        <v>37</v>
      </c>
      <c r="G25" s="563"/>
      <c r="H25" s="564"/>
      <c r="I25" s="559" t="s">
        <v>37</v>
      </c>
      <c r="J25" s="565"/>
      <c r="K25" s="565"/>
      <c r="L25" s="565"/>
      <c r="M25" s="566"/>
      <c r="N25" s="559" t="s">
        <v>37</v>
      </c>
      <c r="O25" s="560"/>
      <c r="P25" s="565"/>
      <c r="Q25" s="566"/>
      <c r="R25" s="559" t="s">
        <v>37</v>
      </c>
      <c r="S25" s="574"/>
      <c r="T25" s="574"/>
      <c r="U25" s="574"/>
      <c r="V25" s="575"/>
      <c r="W25" s="559" t="s">
        <v>37</v>
      </c>
      <c r="X25" s="565"/>
      <c r="Y25" s="566"/>
    </row>
    <row r="26" spans="1:27" s="27" customFormat="1" ht="51" customHeight="1" x14ac:dyDescent="0.3">
      <c r="A26" s="602"/>
      <c r="B26" s="576" t="s">
        <v>40</v>
      </c>
      <c r="C26" s="577"/>
      <c r="D26" s="577"/>
      <c r="E26" s="578"/>
      <c r="F26" s="579" t="s">
        <v>42</v>
      </c>
      <c r="G26" s="580"/>
      <c r="H26" s="581"/>
      <c r="I26" s="576" t="s">
        <v>44</v>
      </c>
      <c r="J26" s="577"/>
      <c r="K26" s="577"/>
      <c r="L26" s="577"/>
      <c r="M26" s="578"/>
      <c r="N26" s="576" t="s">
        <v>49</v>
      </c>
      <c r="O26" s="577"/>
      <c r="P26" s="577"/>
      <c r="Q26" s="578"/>
      <c r="R26" s="576" t="s">
        <v>53</v>
      </c>
      <c r="S26" s="582"/>
      <c r="T26" s="582"/>
      <c r="U26" s="582"/>
      <c r="V26" s="583"/>
      <c r="W26" s="576"/>
      <c r="X26" s="577"/>
      <c r="Y26" s="578"/>
    </row>
    <row r="27" spans="1:27" s="14" customFormat="1" x14ac:dyDescent="0.3">
      <c r="A27" s="602"/>
      <c r="B27" s="559" t="s">
        <v>46</v>
      </c>
      <c r="C27" s="560"/>
      <c r="D27" s="560"/>
      <c r="E27" s="561"/>
      <c r="F27" s="559" t="s">
        <v>46</v>
      </c>
      <c r="G27" s="560"/>
      <c r="H27" s="560"/>
      <c r="I27" s="559" t="s">
        <v>46</v>
      </c>
      <c r="J27" s="560"/>
      <c r="K27" s="560"/>
      <c r="L27" s="560"/>
      <c r="M27" s="561"/>
      <c r="N27" s="559" t="s">
        <v>46</v>
      </c>
      <c r="O27" s="560"/>
      <c r="P27" s="565"/>
      <c r="Q27" s="566"/>
      <c r="R27" s="559" t="s">
        <v>46</v>
      </c>
      <c r="S27" s="574"/>
      <c r="T27" s="574"/>
      <c r="U27" s="574"/>
      <c r="V27" s="575"/>
      <c r="W27" s="559" t="s">
        <v>46</v>
      </c>
      <c r="X27" s="565"/>
      <c r="Y27" s="566"/>
    </row>
    <row r="28" spans="1:27" s="30" customFormat="1" ht="12.75" customHeight="1" x14ac:dyDescent="0.3">
      <c r="A28" s="602"/>
      <c r="B28" s="587" t="s">
        <v>47</v>
      </c>
      <c r="C28" s="588"/>
      <c r="D28" s="588"/>
      <c r="E28" s="589"/>
      <c r="F28" s="587" t="s">
        <v>47</v>
      </c>
      <c r="G28" s="588"/>
      <c r="H28" s="588"/>
      <c r="I28" s="590" t="s">
        <v>82</v>
      </c>
      <c r="J28" s="591"/>
      <c r="K28" s="591"/>
      <c r="L28" s="591"/>
      <c r="M28" s="592"/>
      <c r="N28" s="590" t="s">
        <v>86</v>
      </c>
      <c r="O28" s="591"/>
      <c r="P28" s="591"/>
      <c r="Q28" s="592"/>
      <c r="R28" s="593" t="s">
        <v>87</v>
      </c>
      <c r="S28" s="594"/>
      <c r="T28" s="594"/>
      <c r="U28" s="594"/>
      <c r="V28" s="595"/>
      <c r="W28" s="593" t="s">
        <v>54</v>
      </c>
      <c r="X28" s="591"/>
      <c r="Y28" s="592"/>
    </row>
    <row r="29" spans="1:27" s="30" customFormat="1" ht="15" customHeight="1" x14ac:dyDescent="0.25">
      <c r="A29" s="602"/>
      <c r="B29" s="584" t="s">
        <v>48</v>
      </c>
      <c r="C29" s="585"/>
      <c r="D29" s="585"/>
      <c r="E29" s="586"/>
      <c r="F29" s="584" t="s">
        <v>12</v>
      </c>
      <c r="G29" s="585"/>
      <c r="H29" s="585"/>
      <c r="I29" s="584" t="s">
        <v>83</v>
      </c>
      <c r="J29" s="585"/>
      <c r="K29" s="585"/>
      <c r="L29" s="585"/>
      <c r="M29" s="586"/>
      <c r="N29" s="584" t="s">
        <v>12</v>
      </c>
      <c r="O29" s="585"/>
      <c r="P29" s="585"/>
      <c r="Q29" s="586"/>
      <c r="R29" s="584" t="s">
        <v>362</v>
      </c>
      <c r="S29" s="596"/>
      <c r="T29" s="596"/>
      <c r="U29" s="596"/>
      <c r="V29" s="597"/>
      <c r="W29" s="584" t="s">
        <v>55</v>
      </c>
      <c r="X29" s="585"/>
      <c r="Y29" s="586"/>
    </row>
    <row r="30" spans="1:27" s="14" customFormat="1" x14ac:dyDescent="0.3">
      <c r="A30" s="602"/>
      <c r="B30" s="559" t="s">
        <v>38</v>
      </c>
      <c r="C30" s="560"/>
      <c r="D30" s="560"/>
      <c r="E30" s="561"/>
      <c r="F30" s="562" t="s">
        <v>38</v>
      </c>
      <c r="G30" s="563"/>
      <c r="H30" s="564"/>
      <c r="I30" s="559" t="s">
        <v>38</v>
      </c>
      <c r="J30" s="565"/>
      <c r="K30" s="565"/>
      <c r="L30" s="565"/>
      <c r="M30" s="566"/>
      <c r="N30" s="559" t="s">
        <v>38</v>
      </c>
      <c r="O30" s="560"/>
      <c r="P30" s="565"/>
      <c r="Q30" s="566"/>
      <c r="R30" s="499" t="s">
        <v>38</v>
      </c>
      <c r="S30" s="500"/>
      <c r="T30" s="500"/>
      <c r="U30" s="500"/>
      <c r="V30" s="501"/>
      <c r="W30" s="559" t="s">
        <v>38</v>
      </c>
      <c r="X30" s="565"/>
      <c r="Y30" s="566"/>
    </row>
    <row r="31" spans="1:27" s="30" customFormat="1" ht="42" customHeight="1" x14ac:dyDescent="0.25">
      <c r="A31" s="602"/>
      <c r="B31" s="584" t="s">
        <v>41</v>
      </c>
      <c r="C31" s="585"/>
      <c r="D31" s="585"/>
      <c r="E31" s="586"/>
      <c r="F31" s="579" t="s">
        <v>258</v>
      </c>
      <c r="G31" s="580"/>
      <c r="H31" s="581"/>
      <c r="I31" s="584" t="s">
        <v>45</v>
      </c>
      <c r="J31" s="585"/>
      <c r="K31" s="585"/>
      <c r="L31" s="585"/>
      <c r="M31" s="586"/>
      <c r="N31" s="584" t="s">
        <v>50</v>
      </c>
      <c r="O31" s="585"/>
      <c r="P31" s="585"/>
      <c r="Q31" s="586"/>
      <c r="R31" s="584" t="s">
        <v>308</v>
      </c>
      <c r="S31" s="596"/>
      <c r="T31" s="596"/>
      <c r="U31" s="596"/>
      <c r="V31" s="597"/>
      <c r="W31" s="584" t="s">
        <v>56</v>
      </c>
      <c r="X31" s="585"/>
      <c r="Y31" s="586"/>
    </row>
    <row r="32" spans="1:27" s="14" customFormat="1" x14ac:dyDescent="0.3">
      <c r="A32" s="602"/>
      <c r="B32" s="559" t="s">
        <v>39</v>
      </c>
      <c r="C32" s="560"/>
      <c r="D32" s="560"/>
      <c r="E32" s="560"/>
      <c r="F32" s="574"/>
      <c r="G32" s="574"/>
      <c r="H32" s="575"/>
      <c r="I32" s="559" t="s">
        <v>39</v>
      </c>
      <c r="J32" s="560"/>
      <c r="K32" s="560"/>
      <c r="L32" s="560"/>
      <c r="M32" s="561"/>
      <c r="N32" s="559" t="s">
        <v>39</v>
      </c>
      <c r="O32" s="560"/>
      <c r="P32" s="560"/>
      <c r="Q32" s="561"/>
      <c r="R32" s="559" t="s">
        <v>39</v>
      </c>
      <c r="S32" s="574"/>
      <c r="T32" s="574"/>
      <c r="U32" s="574"/>
      <c r="V32" s="575"/>
      <c r="W32" s="559" t="s">
        <v>39</v>
      </c>
      <c r="X32" s="560"/>
      <c r="Y32" s="561"/>
    </row>
    <row r="33" spans="1:25" s="30" customFormat="1" ht="66.75" customHeight="1" x14ac:dyDescent="0.25">
      <c r="A33" s="603"/>
      <c r="B33" s="584" t="s">
        <v>43</v>
      </c>
      <c r="C33" s="585"/>
      <c r="D33" s="585"/>
      <c r="E33" s="585"/>
      <c r="F33" s="596"/>
      <c r="G33" s="596"/>
      <c r="H33" s="597"/>
      <c r="I33" s="584" t="s">
        <v>307</v>
      </c>
      <c r="J33" s="585"/>
      <c r="K33" s="585"/>
      <c r="L33" s="585"/>
      <c r="M33" s="586"/>
      <c r="N33" s="584" t="s">
        <v>51</v>
      </c>
      <c r="O33" s="585"/>
      <c r="P33" s="585"/>
      <c r="Q33" s="586"/>
      <c r="R33" s="584" t="s">
        <v>309</v>
      </c>
      <c r="S33" s="596"/>
      <c r="T33" s="596"/>
      <c r="U33" s="596"/>
      <c r="V33" s="597"/>
      <c r="W33" s="584" t="s">
        <v>57</v>
      </c>
      <c r="X33" s="585"/>
      <c r="Y33" s="586"/>
    </row>
    <row r="34" spans="1:25" s="30" customFormat="1" ht="3.75" customHeight="1" x14ac:dyDescent="0.25">
      <c r="A34" s="97"/>
      <c r="F34" s="98"/>
      <c r="G34" s="98"/>
      <c r="H34" s="98"/>
    </row>
    <row r="35" spans="1:25" ht="15" x14ac:dyDescent="0.3">
      <c r="A35" s="2" t="s">
        <v>171</v>
      </c>
      <c r="R35" s="479" t="s">
        <v>363</v>
      </c>
    </row>
    <row r="36" spans="1:25" x14ac:dyDescent="0.3">
      <c r="A36" s="7"/>
      <c r="B36" s="546" t="s">
        <v>122</v>
      </c>
      <c r="C36" s="549"/>
      <c r="D36" s="549"/>
      <c r="E36" s="549"/>
      <c r="F36" s="598"/>
      <c r="G36" s="598"/>
      <c r="H36" s="598"/>
      <c r="I36" s="598"/>
      <c r="J36" s="598"/>
      <c r="K36" s="598"/>
      <c r="L36" s="599"/>
      <c r="N36" s="30"/>
      <c r="O36" s="30"/>
      <c r="P36" s="30"/>
      <c r="Q36" s="30"/>
      <c r="R36" s="30"/>
      <c r="S36" s="30"/>
      <c r="T36" s="30"/>
      <c r="U36" s="30"/>
      <c r="V36" s="30"/>
      <c r="W36" s="30"/>
      <c r="X36" s="30"/>
      <c r="Y36" s="30"/>
    </row>
    <row r="37" spans="1:25" ht="52.5" customHeight="1" x14ac:dyDescent="0.3">
      <c r="A37" s="208" t="s">
        <v>4</v>
      </c>
      <c r="B37" s="8" t="s">
        <v>123</v>
      </c>
      <c r="C37" s="99" t="s">
        <v>124</v>
      </c>
      <c r="D37" s="99" t="s">
        <v>125</v>
      </c>
      <c r="E37" s="99" t="s">
        <v>126</v>
      </c>
      <c r="F37" s="99" t="s">
        <v>127</v>
      </c>
      <c r="G37" s="99" t="s">
        <v>128</v>
      </c>
      <c r="H37" s="99" t="s">
        <v>129</v>
      </c>
      <c r="I37" s="99" t="s">
        <v>130</v>
      </c>
      <c r="J37" s="99" t="s">
        <v>131</v>
      </c>
      <c r="K37" s="99" t="s">
        <v>132</v>
      </c>
      <c r="L37" s="100" t="s">
        <v>172</v>
      </c>
      <c r="N37" s="30"/>
      <c r="O37" s="30"/>
      <c r="P37" s="30"/>
      <c r="Q37" s="30"/>
      <c r="R37" s="30"/>
      <c r="S37" s="30"/>
      <c r="T37" s="30"/>
      <c r="U37" s="30"/>
      <c r="V37" s="30"/>
      <c r="W37" s="30"/>
      <c r="X37" s="30"/>
      <c r="Y37" s="30"/>
    </row>
    <row r="38" spans="1:25" x14ac:dyDescent="0.3">
      <c r="A38" s="10" t="s">
        <v>114</v>
      </c>
      <c r="B38" s="156">
        <v>-33.548000000000002</v>
      </c>
      <c r="C38" s="157">
        <v>73.802000000000007</v>
      </c>
      <c r="D38" s="157">
        <v>5.0919999999999996</v>
      </c>
      <c r="E38" s="157">
        <v>-21.838000000000001</v>
      </c>
      <c r="F38" s="157">
        <v>0.35099999999999998</v>
      </c>
      <c r="G38" s="157">
        <v>81.477000000000004</v>
      </c>
      <c r="H38" s="157"/>
      <c r="I38" s="157"/>
      <c r="J38" s="157">
        <v>102.798</v>
      </c>
      <c r="K38" s="157">
        <v>-29.715</v>
      </c>
      <c r="L38" s="209">
        <f>SUM(B38:K38)</f>
        <v>178.41900000000001</v>
      </c>
      <c r="N38" s="30"/>
      <c r="O38" s="30"/>
      <c r="P38" s="30"/>
      <c r="Q38" s="30"/>
      <c r="R38" s="30"/>
      <c r="S38" s="30"/>
      <c r="T38" s="30"/>
      <c r="U38" s="30"/>
      <c r="V38" s="30"/>
      <c r="W38" s="30"/>
      <c r="X38" s="30"/>
      <c r="Y38" s="30"/>
    </row>
    <row r="39" spans="1:25" x14ac:dyDescent="0.3">
      <c r="A39" s="91" t="s">
        <v>115</v>
      </c>
      <c r="B39" s="166">
        <v>55.155999999999999</v>
      </c>
      <c r="C39" s="167">
        <v>64.387</v>
      </c>
      <c r="D39" s="167">
        <v>21.715</v>
      </c>
      <c r="E39" s="167">
        <v>-26.956</v>
      </c>
      <c r="F39" s="167">
        <v>3.141</v>
      </c>
      <c r="G39" s="167">
        <v>72.314999999999998</v>
      </c>
      <c r="H39" s="167"/>
      <c r="I39" s="167">
        <v>-6.3789999999999996</v>
      </c>
      <c r="J39" s="167">
        <v>64.435000000000002</v>
      </c>
      <c r="K39" s="167">
        <f>-8.681-60.811</f>
        <v>-69.492000000000004</v>
      </c>
      <c r="L39" s="210">
        <f t="shared" ref="L39:L44" si="33">SUM(B39:K39)</f>
        <v>178.322</v>
      </c>
      <c r="N39" s="30"/>
      <c r="O39" s="30"/>
      <c r="P39" s="30"/>
      <c r="Q39" s="30"/>
      <c r="R39" s="30"/>
      <c r="S39" s="30"/>
      <c r="T39" s="30"/>
      <c r="U39" s="30"/>
      <c r="V39" s="30"/>
      <c r="W39" s="30"/>
      <c r="X39" s="30"/>
      <c r="Y39" s="30"/>
    </row>
    <row r="40" spans="1:25" x14ac:dyDescent="0.3">
      <c r="A40" s="91" t="s">
        <v>116</v>
      </c>
      <c r="B40" s="166">
        <v>16.689</v>
      </c>
      <c r="C40" s="167">
        <v>82.218999999999994</v>
      </c>
      <c r="D40" s="167">
        <v>5.4349999999999996</v>
      </c>
      <c r="E40" s="167">
        <v>-21.012</v>
      </c>
      <c r="F40" s="167">
        <v>-0.71899999999999997</v>
      </c>
      <c r="G40" s="167">
        <v>85.994</v>
      </c>
      <c r="H40" s="167">
        <v>80</v>
      </c>
      <c r="I40" s="167">
        <v>-8.4090000000000007</v>
      </c>
      <c r="J40" s="167">
        <v>92.346000000000004</v>
      </c>
      <c r="K40" s="167">
        <f>-9.136-111.643</f>
        <v>-120.779</v>
      </c>
      <c r="L40" s="210">
        <f t="shared" si="33"/>
        <v>211.76400000000001</v>
      </c>
      <c r="N40" s="30"/>
      <c r="O40" s="30"/>
      <c r="P40" s="30"/>
      <c r="Q40" s="30"/>
      <c r="R40" s="30"/>
      <c r="S40" s="30"/>
      <c r="T40" s="30"/>
      <c r="U40" s="30"/>
      <c r="V40" s="30"/>
      <c r="W40" s="30"/>
      <c r="X40" s="30"/>
      <c r="Y40" s="30"/>
    </row>
    <row r="41" spans="1:25" x14ac:dyDescent="0.3">
      <c r="A41" s="92" t="s">
        <v>117</v>
      </c>
      <c r="B41" s="177">
        <v>-51.468000000000004</v>
      </c>
      <c r="C41" s="178">
        <v>71.468000000000004</v>
      </c>
      <c r="D41" s="178">
        <v>2.3620000000000001</v>
      </c>
      <c r="E41" s="178">
        <v>-24.744</v>
      </c>
      <c r="F41" s="178">
        <v>0.182</v>
      </c>
      <c r="G41" s="178">
        <v>117.55200000000001</v>
      </c>
      <c r="H41" s="178"/>
      <c r="I41" s="178">
        <v>-4</v>
      </c>
      <c r="J41" s="178">
        <v>91.486999999999995</v>
      </c>
      <c r="K41" s="178">
        <v>-19.613</v>
      </c>
      <c r="L41" s="211">
        <f t="shared" si="33"/>
        <v>183.226</v>
      </c>
      <c r="N41" s="30"/>
      <c r="O41" s="30"/>
      <c r="P41" s="30"/>
      <c r="Q41" s="30"/>
      <c r="R41" s="30"/>
      <c r="S41" s="30"/>
      <c r="T41" s="30"/>
      <c r="U41" s="30"/>
      <c r="V41" s="30"/>
      <c r="W41" s="30"/>
      <c r="X41" s="30"/>
      <c r="Y41" s="30"/>
    </row>
    <row r="42" spans="1:25" x14ac:dyDescent="0.3">
      <c r="A42" s="93" t="s">
        <v>118</v>
      </c>
      <c r="B42" s="186">
        <v>128.81700000000001</v>
      </c>
      <c r="C42" s="187">
        <v>79.247</v>
      </c>
      <c r="D42" s="187">
        <v>2.1240000000000001</v>
      </c>
      <c r="E42" s="187">
        <v>-20.395</v>
      </c>
      <c r="F42" s="187">
        <v>-7.9740000000000002</v>
      </c>
      <c r="G42" s="187">
        <v>113.9</v>
      </c>
      <c r="H42" s="187"/>
      <c r="I42" s="187">
        <v>-6.6340000000000003</v>
      </c>
      <c r="J42" s="187">
        <v>0.28999999999999998</v>
      </c>
      <c r="K42" s="187">
        <v>-44.500999999999998</v>
      </c>
      <c r="L42" s="212">
        <f t="shared" si="33"/>
        <v>244.87400000000005</v>
      </c>
      <c r="N42" s="30"/>
      <c r="O42" s="30"/>
      <c r="P42" s="30"/>
      <c r="Q42" s="30"/>
      <c r="R42" s="30"/>
      <c r="S42" s="30"/>
      <c r="T42" s="30"/>
      <c r="U42" s="30"/>
      <c r="V42" s="30"/>
      <c r="W42" s="30"/>
      <c r="X42" s="30"/>
      <c r="Y42" s="30"/>
    </row>
    <row r="43" spans="1:25" x14ac:dyDescent="0.3">
      <c r="A43" s="91" t="s">
        <v>119</v>
      </c>
      <c r="B43" s="166">
        <v>2.7360000000000002</v>
      </c>
      <c r="C43" s="167">
        <v>71.626999999999995</v>
      </c>
      <c r="D43" s="167">
        <v>2.0394369999999999</v>
      </c>
      <c r="E43" s="167">
        <v>-9.4179999999999993</v>
      </c>
      <c r="F43" s="167">
        <v>0.06</v>
      </c>
      <c r="G43" s="167">
        <v>116.438</v>
      </c>
      <c r="H43" s="167">
        <v>90</v>
      </c>
      <c r="I43" s="167">
        <v>-9.6050000000000004</v>
      </c>
      <c r="J43" s="167">
        <v>44.579000000000001</v>
      </c>
      <c r="K43" s="167">
        <v>-22.452999999999999</v>
      </c>
      <c r="L43" s="210">
        <f t="shared" si="33"/>
        <v>286.00343700000002</v>
      </c>
      <c r="N43" s="30"/>
      <c r="O43" s="30"/>
      <c r="P43" s="30"/>
      <c r="Q43" s="30"/>
      <c r="R43" s="30"/>
      <c r="S43" s="30"/>
      <c r="T43" s="30"/>
      <c r="U43" s="30"/>
      <c r="V43" s="30"/>
      <c r="W43" s="30"/>
      <c r="X43" s="30"/>
      <c r="Y43" s="30"/>
    </row>
    <row r="44" spans="1:25" x14ac:dyDescent="0.3">
      <c r="A44" s="91" t="s">
        <v>120</v>
      </c>
      <c r="B44" s="166">
        <v>53.616999999999997</v>
      </c>
      <c r="C44" s="167">
        <v>69.099000000000004</v>
      </c>
      <c r="D44" s="167">
        <v>8.5120000000000005</v>
      </c>
      <c r="E44" s="167">
        <v>-6.5819999999999999</v>
      </c>
      <c r="F44" s="167"/>
      <c r="G44" s="167">
        <v>113.786</v>
      </c>
      <c r="H44" s="167"/>
      <c r="I44" s="167">
        <v>-7.048</v>
      </c>
      <c r="J44" s="167">
        <v>80.444000000000003</v>
      </c>
      <c r="K44" s="167">
        <v>-11.516</v>
      </c>
      <c r="L44" s="210">
        <f t="shared" si="33"/>
        <v>300.31200000000001</v>
      </c>
      <c r="N44" s="30"/>
      <c r="O44" s="30"/>
      <c r="P44" s="30"/>
      <c r="Q44" s="30"/>
      <c r="R44" s="30"/>
      <c r="S44" s="30"/>
      <c r="T44" s="30"/>
      <c r="U44" s="30"/>
      <c r="V44" s="30"/>
      <c r="W44" s="30"/>
      <c r="X44" s="30"/>
      <c r="Y44" s="30"/>
    </row>
    <row r="45" spans="1:25" x14ac:dyDescent="0.3">
      <c r="A45" s="96" t="s">
        <v>121</v>
      </c>
      <c r="B45" s="196">
        <v>81.899647000000002</v>
      </c>
      <c r="C45" s="197">
        <v>77.624646999999996</v>
      </c>
      <c r="D45" s="197">
        <v>7.3837799999999998</v>
      </c>
      <c r="E45" s="197">
        <v>-7.7401619999999998</v>
      </c>
      <c r="F45" s="197">
        <v>4.1299679999999999</v>
      </c>
      <c r="G45" s="197">
        <v>110.651741</v>
      </c>
      <c r="H45" s="197">
        <v>40</v>
      </c>
      <c r="I45" s="197">
        <v>-5.1079999999999997</v>
      </c>
      <c r="J45" s="197">
        <v>0.12983700000000001</v>
      </c>
      <c r="K45" s="197">
        <v>-38.150129</v>
      </c>
      <c r="L45" s="213">
        <f t="shared" ref="L45:L50" si="34">SUM(B45:K45)</f>
        <v>270.82132899999999</v>
      </c>
      <c r="N45" s="30"/>
      <c r="O45" s="30"/>
      <c r="P45" s="30"/>
      <c r="Q45" s="30"/>
      <c r="R45" s="30"/>
      <c r="S45" s="30"/>
      <c r="T45" s="30"/>
      <c r="U45" s="30"/>
      <c r="V45" s="30"/>
      <c r="W45" s="30"/>
      <c r="X45" s="30"/>
      <c r="Y45" s="30"/>
    </row>
    <row r="46" spans="1:25" x14ac:dyDescent="0.3">
      <c r="A46" s="10" t="s">
        <v>260</v>
      </c>
      <c r="B46" s="156">
        <v>134.30065300000001</v>
      </c>
      <c r="C46" s="157">
        <v>77.951887999999997</v>
      </c>
      <c r="D46" s="157">
        <v>4.8252629999999996</v>
      </c>
      <c r="E46" s="157">
        <v>-4.7647000000000002E-2</v>
      </c>
      <c r="F46" s="157">
        <v>-9.1851000000000002E-2</v>
      </c>
      <c r="G46" s="157">
        <v>109.992091</v>
      </c>
      <c r="H46" s="157">
        <v>67</v>
      </c>
      <c r="I46" s="157">
        <v>-5.4298970000000004</v>
      </c>
      <c r="J46" s="157"/>
      <c r="K46" s="157">
        <v>-56.436228999999997</v>
      </c>
      <c r="L46" s="209">
        <f t="shared" si="34"/>
        <v>332.06427100000008</v>
      </c>
      <c r="N46" s="30"/>
      <c r="O46" s="30"/>
      <c r="P46" s="30"/>
      <c r="Q46" s="30"/>
      <c r="R46" s="30"/>
      <c r="S46" s="30"/>
      <c r="T46" s="30"/>
      <c r="U46" s="30"/>
      <c r="V46" s="30"/>
      <c r="W46" s="30"/>
      <c r="X46" s="30"/>
      <c r="Y46" s="30"/>
    </row>
    <row r="47" spans="1:25" x14ac:dyDescent="0.3">
      <c r="A47" s="92" t="s">
        <v>298</v>
      </c>
      <c r="B47" s="177">
        <v>205.58511424</v>
      </c>
      <c r="C47" s="178">
        <v>87.546640920000002</v>
      </c>
      <c r="D47" s="178">
        <v>2.68181783</v>
      </c>
      <c r="E47" s="178">
        <v>-1.76835353</v>
      </c>
      <c r="F47" s="178">
        <v>-1.62485268</v>
      </c>
      <c r="G47" s="178">
        <v>116.15624212</v>
      </c>
      <c r="H47" s="178">
        <v>60</v>
      </c>
      <c r="I47" s="178">
        <v>-8.2959456399999993</v>
      </c>
      <c r="J47" s="178">
        <v>19.712</v>
      </c>
      <c r="K47" s="178">
        <v>-61.126775000000002</v>
      </c>
      <c r="L47" s="211">
        <f t="shared" si="34"/>
        <v>418.86588825999996</v>
      </c>
      <c r="N47" s="30"/>
      <c r="O47" s="30"/>
      <c r="P47" s="30"/>
      <c r="Q47" s="30"/>
      <c r="R47" s="30"/>
      <c r="S47" s="30"/>
      <c r="T47" s="30"/>
      <c r="U47" s="30"/>
      <c r="V47" s="30"/>
      <c r="W47" s="30"/>
      <c r="X47" s="30"/>
      <c r="Y47" s="30"/>
    </row>
    <row r="48" spans="1:25" x14ac:dyDescent="0.3">
      <c r="A48" s="92" t="s">
        <v>310</v>
      </c>
      <c r="B48" s="177">
        <v>162.36581848000014</v>
      </c>
      <c r="C48" s="178">
        <v>88.384671969999999</v>
      </c>
      <c r="D48" s="178">
        <v>4.3747330699999996</v>
      </c>
      <c r="E48" s="178">
        <v>-0.32274452999999997</v>
      </c>
      <c r="F48" s="178">
        <v>-0.45117499999999999</v>
      </c>
      <c r="G48" s="178">
        <v>134.63849524</v>
      </c>
      <c r="H48" s="178"/>
      <c r="I48" s="178">
        <v>-18.555913050000001</v>
      </c>
      <c r="J48" s="178">
        <v>2.4441536300000002</v>
      </c>
      <c r="K48" s="178">
        <v>-25.797216379999998</v>
      </c>
      <c r="L48" s="211">
        <f t="shared" si="34"/>
        <v>347.08082343000012</v>
      </c>
      <c r="N48" s="30"/>
      <c r="O48" s="30"/>
      <c r="P48" s="30"/>
      <c r="Q48" s="30"/>
      <c r="R48" s="30"/>
      <c r="S48" s="30"/>
      <c r="T48" s="30"/>
      <c r="U48" s="30"/>
      <c r="V48" s="30"/>
      <c r="W48" s="30"/>
      <c r="X48" s="30"/>
      <c r="Y48" s="30"/>
    </row>
    <row r="49" spans="1:25" x14ac:dyDescent="0.3">
      <c r="A49" s="96" t="s">
        <v>316</v>
      </c>
      <c r="B49" s="196">
        <v>87.697453359999997</v>
      </c>
      <c r="C49" s="197">
        <v>91.511599129999993</v>
      </c>
      <c r="D49" s="197">
        <v>2.9634550200000001</v>
      </c>
      <c r="E49" s="197">
        <v>-8.8483099599999999</v>
      </c>
      <c r="F49" s="197">
        <v>-0.56793397999999995</v>
      </c>
      <c r="G49" s="197">
        <v>147.56825798</v>
      </c>
      <c r="H49" s="197">
        <v>20</v>
      </c>
      <c r="I49" s="197">
        <v>-23.460957069999999</v>
      </c>
      <c r="J49" s="197">
        <v>25.254453170000001</v>
      </c>
      <c r="K49" s="197">
        <v>-25.148393779999999</v>
      </c>
      <c r="L49" s="213">
        <f t="shared" si="34"/>
        <v>316.96962386999996</v>
      </c>
      <c r="N49" s="30"/>
      <c r="O49" s="30"/>
      <c r="P49" s="30"/>
      <c r="Q49" s="30"/>
      <c r="R49" s="30"/>
      <c r="S49" s="30"/>
      <c r="T49" s="30"/>
      <c r="U49" s="30"/>
      <c r="V49" s="30"/>
      <c r="W49" s="30"/>
      <c r="X49" s="30"/>
      <c r="Y49" s="30"/>
    </row>
    <row r="50" spans="1:25" x14ac:dyDescent="0.3">
      <c r="A50" s="491" t="s">
        <v>360</v>
      </c>
      <c r="B50" s="502">
        <v>-218.53720759000001</v>
      </c>
      <c r="C50" s="503">
        <v>88.633959809999993</v>
      </c>
      <c r="D50" s="503">
        <v>204.82215349000001</v>
      </c>
      <c r="E50" s="503">
        <v>-1.9832658700000001</v>
      </c>
      <c r="F50" s="503">
        <v>-1.1498079999999999</v>
      </c>
      <c r="G50" s="503">
        <v>158.49660495000001</v>
      </c>
      <c r="H50" s="503">
        <v>35</v>
      </c>
      <c r="I50" s="503">
        <v>-28.4157391</v>
      </c>
      <c r="J50" s="503">
        <v>13.74097617</v>
      </c>
      <c r="K50" s="503">
        <v>-9.9409485600000007</v>
      </c>
      <c r="L50" s="504">
        <f t="shared" si="34"/>
        <v>240.66672530000002</v>
      </c>
      <c r="N50" s="30"/>
      <c r="O50" s="30"/>
      <c r="P50" s="30"/>
      <c r="Q50" s="30"/>
      <c r="R50" s="30"/>
      <c r="S50" s="30"/>
      <c r="T50" s="30"/>
      <c r="U50" s="30"/>
      <c r="V50" s="30"/>
      <c r="W50" s="30"/>
      <c r="X50" s="30"/>
      <c r="Y50" s="30"/>
    </row>
    <row r="51" spans="1:25" ht="3.75" customHeight="1" x14ac:dyDescent="0.3">
      <c r="A51" s="101"/>
      <c r="B51" s="68"/>
      <c r="C51" s="68"/>
      <c r="D51" s="68"/>
      <c r="E51" s="68"/>
      <c r="F51" s="68"/>
      <c r="G51" s="68"/>
      <c r="H51" s="68"/>
      <c r="I51" s="68"/>
      <c r="J51" s="68"/>
      <c r="K51" s="68"/>
      <c r="L51" s="68"/>
      <c r="N51" s="30"/>
      <c r="O51" s="30"/>
      <c r="P51" s="30"/>
      <c r="Q51" s="30"/>
      <c r="R51" s="30"/>
      <c r="S51" s="30"/>
      <c r="T51" s="30"/>
      <c r="U51" s="30"/>
      <c r="V51" s="30"/>
      <c r="W51" s="30"/>
      <c r="X51" s="30"/>
      <c r="Y51" s="30"/>
    </row>
    <row r="52" spans="1:25" ht="25.5" customHeight="1" x14ac:dyDescent="0.3">
      <c r="A52" s="520" t="s">
        <v>299</v>
      </c>
      <c r="B52" s="521"/>
      <c r="C52" s="521"/>
      <c r="D52" s="521"/>
      <c r="E52" s="521"/>
      <c r="F52" s="521"/>
      <c r="G52" s="521"/>
      <c r="H52" s="521"/>
      <c r="I52" s="521"/>
      <c r="J52" s="521"/>
      <c r="K52" s="521"/>
      <c r="L52" s="521"/>
      <c r="M52" s="521"/>
      <c r="N52" s="521"/>
      <c r="O52" s="521"/>
      <c r="P52" s="521"/>
      <c r="Q52" s="521"/>
      <c r="R52" s="521"/>
      <c r="S52" s="521"/>
      <c r="T52" s="521"/>
      <c r="U52" s="521"/>
      <c r="V52" s="521"/>
      <c r="W52" s="521"/>
      <c r="X52" s="521"/>
      <c r="Y52" s="521"/>
    </row>
    <row r="53" spans="1:25" ht="12.75" customHeight="1" x14ac:dyDescent="0.3">
      <c r="A53" s="7"/>
      <c r="B53" s="600" t="s">
        <v>133</v>
      </c>
      <c r="C53" s="549"/>
      <c r="D53" s="549"/>
      <c r="E53" s="549"/>
      <c r="F53" s="598"/>
      <c r="G53" s="598"/>
      <c r="H53" s="598"/>
      <c r="I53" s="598"/>
      <c r="J53" s="598"/>
      <c r="K53" s="598"/>
      <c r="L53" s="598"/>
      <c r="M53" s="598"/>
      <c r="N53" s="599"/>
      <c r="O53" s="600" t="s">
        <v>134</v>
      </c>
      <c r="P53" s="549"/>
      <c r="Q53" s="599"/>
      <c r="R53" s="102" t="s">
        <v>135</v>
      </c>
      <c r="X53" s="14"/>
    </row>
    <row r="54" spans="1:25" ht="52.5" customHeight="1" x14ac:dyDescent="0.3">
      <c r="A54" s="103" t="s">
        <v>4</v>
      </c>
      <c r="B54" s="8" t="s">
        <v>136</v>
      </c>
      <c r="C54" s="99" t="s">
        <v>137</v>
      </c>
      <c r="D54" s="99" t="s">
        <v>138</v>
      </c>
      <c r="E54" s="99" t="s">
        <v>139</v>
      </c>
      <c r="F54" s="99" t="s">
        <v>140</v>
      </c>
      <c r="G54" s="99" t="s">
        <v>141</v>
      </c>
      <c r="H54" s="99" t="s">
        <v>142</v>
      </c>
      <c r="I54" s="99" t="s">
        <v>143</v>
      </c>
      <c r="J54" s="99" t="s">
        <v>144</v>
      </c>
      <c r="K54" s="99" t="s">
        <v>145</v>
      </c>
      <c r="L54" s="99" t="s">
        <v>146</v>
      </c>
      <c r="M54" s="99" t="s">
        <v>147</v>
      </c>
      <c r="N54" s="104" t="s">
        <v>148</v>
      </c>
      <c r="O54" s="105" t="s">
        <v>149</v>
      </c>
      <c r="P54" s="99" t="s">
        <v>150</v>
      </c>
      <c r="Q54" s="104" t="s">
        <v>151</v>
      </c>
      <c r="R54" s="106" t="s">
        <v>152</v>
      </c>
      <c r="U54" s="21"/>
      <c r="V54" s="107"/>
      <c r="Y54" s="14"/>
    </row>
    <row r="55" spans="1:25" x14ac:dyDescent="0.3">
      <c r="A55" s="10" t="s">
        <v>114</v>
      </c>
      <c r="B55" s="156">
        <v>2489.0942679999998</v>
      </c>
      <c r="C55" s="157">
        <v>0.34699999999999998</v>
      </c>
      <c r="D55" s="157">
        <f t="shared" ref="D55:D61" si="35">C38*-1</f>
        <v>-73.802000000000007</v>
      </c>
      <c r="E55" s="157"/>
      <c r="F55" s="157">
        <f t="shared" ref="F55:F63" si="36">D38*-1</f>
        <v>-5.0919999999999996</v>
      </c>
      <c r="G55" s="157">
        <v>-74.629098999999997</v>
      </c>
      <c r="H55" s="157">
        <v>-0.35076200000000002</v>
      </c>
      <c r="I55" s="157">
        <f t="shared" ref="I55:I63" si="37">G38*-1</f>
        <v>-81.477000000000004</v>
      </c>
      <c r="J55" s="157">
        <v>-394.10447299999998</v>
      </c>
      <c r="K55" s="157">
        <f t="shared" ref="K55:K63" si="38">J38*-1</f>
        <v>-102.798</v>
      </c>
      <c r="L55" s="157"/>
      <c r="M55" s="157">
        <v>-152.97842499999999</v>
      </c>
      <c r="N55" s="214">
        <f>SUM(B55:M55)</f>
        <v>1604.2095089999998</v>
      </c>
      <c r="O55" s="156">
        <v>373.21336200000002</v>
      </c>
      <c r="P55" s="157">
        <v>-94.056938000000002</v>
      </c>
      <c r="Q55" s="214">
        <f>O55+P55</f>
        <v>279.15642400000002</v>
      </c>
      <c r="R55" s="209">
        <f>N55+Q55</f>
        <v>1883.3659329999998</v>
      </c>
      <c r="S55" s="21"/>
      <c r="T55" s="21"/>
      <c r="U55" s="152"/>
      <c r="V55" s="152"/>
    </row>
    <row r="56" spans="1:25" x14ac:dyDescent="0.3">
      <c r="A56" s="91" t="s">
        <v>115</v>
      </c>
      <c r="B56" s="166">
        <v>2511.1173829999998</v>
      </c>
      <c r="C56" s="167">
        <v>0.123</v>
      </c>
      <c r="D56" s="167">
        <f t="shared" si="35"/>
        <v>-64.387</v>
      </c>
      <c r="E56" s="167">
        <v>-1.04E-2</v>
      </c>
      <c r="F56" s="167">
        <f t="shared" si="36"/>
        <v>-21.715</v>
      </c>
      <c r="G56" s="167">
        <v>-77.920834999999997</v>
      </c>
      <c r="H56" s="167">
        <v>-3.1413129999999998</v>
      </c>
      <c r="I56" s="167">
        <f t="shared" si="37"/>
        <v>-72.314999999999998</v>
      </c>
      <c r="J56" s="167">
        <v>-424.64742000000001</v>
      </c>
      <c r="K56" s="167">
        <f t="shared" si="38"/>
        <v>-64.435000000000002</v>
      </c>
      <c r="L56" s="167"/>
      <c r="M56" s="167">
        <v>-153.45814999999999</v>
      </c>
      <c r="N56" s="215">
        <f t="shared" ref="N56:N61" si="39">SUM(B56:M56)</f>
        <v>1629.2102649999995</v>
      </c>
      <c r="O56" s="166">
        <v>378.942048</v>
      </c>
      <c r="P56" s="167">
        <v>-114.743596</v>
      </c>
      <c r="Q56" s="215">
        <f>O56+P56</f>
        <v>264.19845199999997</v>
      </c>
      <c r="R56" s="210">
        <f t="shared" ref="R56:R61" si="40">N56+Q56</f>
        <v>1893.4087169999993</v>
      </c>
      <c r="S56" s="107"/>
      <c r="T56" s="107"/>
      <c r="U56" s="152"/>
      <c r="V56" s="152"/>
      <c r="Y56" s="14"/>
    </row>
    <row r="57" spans="1:25" x14ac:dyDescent="0.3">
      <c r="A57" s="91" t="s">
        <v>116</v>
      </c>
      <c r="B57" s="166">
        <v>2639.2050049999998</v>
      </c>
      <c r="C57" s="167">
        <v>-2.0285000000000002</v>
      </c>
      <c r="D57" s="167">
        <f t="shared" si="35"/>
        <v>-82.218999999999994</v>
      </c>
      <c r="E57" s="167"/>
      <c r="F57" s="167">
        <f t="shared" si="36"/>
        <v>-5.4349999999999996</v>
      </c>
      <c r="G57" s="167">
        <v>-78.578926999999993</v>
      </c>
      <c r="H57" s="167">
        <v>0.71900600000000003</v>
      </c>
      <c r="I57" s="167">
        <f t="shared" si="37"/>
        <v>-85.994</v>
      </c>
      <c r="J57" s="167">
        <v>-430.993833</v>
      </c>
      <c r="K57" s="167">
        <f t="shared" si="38"/>
        <v>-92.346000000000004</v>
      </c>
      <c r="L57" s="167">
        <f>H40*-1</f>
        <v>-80</v>
      </c>
      <c r="M57" s="167">
        <v>-153.86630500000001</v>
      </c>
      <c r="N57" s="215">
        <f t="shared" si="39"/>
        <v>1628.4624459999995</v>
      </c>
      <c r="O57" s="166">
        <v>415.72009100000002</v>
      </c>
      <c r="P57" s="167">
        <v>-121.05976699999999</v>
      </c>
      <c r="Q57" s="215">
        <f t="shared" ref="Q57:Q61" si="41">O57+P57</f>
        <v>294.66032400000006</v>
      </c>
      <c r="R57" s="210">
        <f t="shared" si="40"/>
        <v>1923.1227699999995</v>
      </c>
      <c r="U57" s="152"/>
      <c r="V57" s="152"/>
      <c r="Y57" s="14"/>
    </row>
    <row r="58" spans="1:25" x14ac:dyDescent="0.3">
      <c r="A58" s="92" t="s">
        <v>117</v>
      </c>
      <c r="B58" s="177">
        <v>2445.1795929999998</v>
      </c>
      <c r="C58" s="178">
        <v>-1.3875</v>
      </c>
      <c r="D58" s="178">
        <f t="shared" si="35"/>
        <v>-71.468000000000004</v>
      </c>
      <c r="E58" s="178"/>
      <c r="F58" s="178">
        <f t="shared" si="36"/>
        <v>-2.3620000000000001</v>
      </c>
      <c r="G58" s="178">
        <v>-9.3277070000000002</v>
      </c>
      <c r="H58" s="178">
        <v>-0.18221300000000001</v>
      </c>
      <c r="I58" s="178">
        <f t="shared" si="37"/>
        <v>-117.55200000000001</v>
      </c>
      <c r="J58" s="178">
        <v>-350.83417600000001</v>
      </c>
      <c r="K58" s="178">
        <f t="shared" si="38"/>
        <v>-91.486999999999995</v>
      </c>
      <c r="L58" s="178"/>
      <c r="M58" s="178">
        <v>-185.640165</v>
      </c>
      <c r="N58" s="216">
        <f t="shared" si="39"/>
        <v>1614.9388319999998</v>
      </c>
      <c r="O58" s="177">
        <v>355.89042000000001</v>
      </c>
      <c r="P58" s="178">
        <v>-25.424285999999999</v>
      </c>
      <c r="Q58" s="216">
        <f t="shared" si="41"/>
        <v>330.46613400000001</v>
      </c>
      <c r="R58" s="211">
        <f t="shared" si="40"/>
        <v>1945.4049659999998</v>
      </c>
      <c r="U58" s="152"/>
      <c r="V58" s="21"/>
      <c r="Y58" s="14"/>
    </row>
    <row r="59" spans="1:25" x14ac:dyDescent="0.3">
      <c r="A59" s="93" t="s">
        <v>118</v>
      </c>
      <c r="B59" s="186">
        <v>2391.066139</v>
      </c>
      <c r="C59" s="187">
        <v>0.84499999999999997</v>
      </c>
      <c r="D59" s="187">
        <f t="shared" si="35"/>
        <v>-79.247</v>
      </c>
      <c r="E59" s="187">
        <v>-5.5000000000000003E-4</v>
      </c>
      <c r="F59" s="187">
        <f t="shared" si="36"/>
        <v>-2.1240000000000001</v>
      </c>
      <c r="G59" s="187">
        <v>-0.45317200000000002</v>
      </c>
      <c r="H59" s="187">
        <v>7.973992</v>
      </c>
      <c r="I59" s="187">
        <f t="shared" si="37"/>
        <v>-113.9</v>
      </c>
      <c r="J59" s="187">
        <v>-360.91478899999998</v>
      </c>
      <c r="K59" s="187">
        <f t="shared" si="38"/>
        <v>-0.28999999999999998</v>
      </c>
      <c r="L59" s="187"/>
      <c r="M59" s="187">
        <v>-203.19072499999999</v>
      </c>
      <c r="N59" s="217">
        <f t="shared" si="39"/>
        <v>1639.7648950000003</v>
      </c>
      <c r="O59" s="186">
        <v>368.09407299999998</v>
      </c>
      <c r="P59" s="187">
        <v>-22.478652</v>
      </c>
      <c r="Q59" s="217">
        <f t="shared" si="41"/>
        <v>345.61542099999997</v>
      </c>
      <c r="R59" s="212">
        <f t="shared" si="40"/>
        <v>1985.3803160000002</v>
      </c>
      <c r="S59" s="14"/>
      <c r="T59" s="14"/>
      <c r="U59" s="152"/>
      <c r="V59" s="21"/>
      <c r="Y59" s="14"/>
    </row>
    <row r="60" spans="1:25" x14ac:dyDescent="0.3">
      <c r="A60" s="91" t="s">
        <v>119</v>
      </c>
      <c r="B60" s="166">
        <v>2512.3739820000001</v>
      </c>
      <c r="C60" s="167">
        <v>0.88100000000000001</v>
      </c>
      <c r="D60" s="167">
        <f t="shared" si="35"/>
        <v>-71.626999999999995</v>
      </c>
      <c r="E60" s="167"/>
      <c r="F60" s="167">
        <f t="shared" si="36"/>
        <v>-2.0394369999999999</v>
      </c>
      <c r="G60" s="167">
        <v>0.103687</v>
      </c>
      <c r="H60" s="167">
        <v>-5.5E-2</v>
      </c>
      <c r="I60" s="167">
        <f t="shared" si="37"/>
        <v>-116.438</v>
      </c>
      <c r="J60" s="167">
        <v>-364.75270499999999</v>
      </c>
      <c r="K60" s="167">
        <f t="shared" si="38"/>
        <v>-44.579000000000001</v>
      </c>
      <c r="L60" s="167">
        <f>H43*-1</f>
        <v>-90</v>
      </c>
      <c r="M60" s="167">
        <v>-187.70606799999999</v>
      </c>
      <c r="N60" s="215">
        <f t="shared" si="39"/>
        <v>1636.1614590000001</v>
      </c>
      <c r="O60" s="166">
        <v>384.72850299999999</v>
      </c>
      <c r="P60" s="167">
        <v>-23.905677000000001</v>
      </c>
      <c r="Q60" s="215">
        <f t="shared" si="41"/>
        <v>360.82282599999996</v>
      </c>
      <c r="R60" s="210">
        <f t="shared" si="40"/>
        <v>1996.984285</v>
      </c>
      <c r="U60" s="152"/>
      <c r="V60" s="107"/>
      <c r="Y60" s="14"/>
    </row>
    <row r="61" spans="1:25" x14ac:dyDescent="0.3">
      <c r="A61" s="91" t="s">
        <v>120</v>
      </c>
      <c r="B61" s="166">
        <v>2456.7899849999999</v>
      </c>
      <c r="C61" s="167">
        <v>-2.25</v>
      </c>
      <c r="D61" s="167">
        <f t="shared" si="35"/>
        <v>-69.099000000000004</v>
      </c>
      <c r="E61" s="167">
        <v>-3.1134550000000001</v>
      </c>
      <c r="F61" s="167">
        <f t="shared" si="36"/>
        <v>-8.5120000000000005</v>
      </c>
      <c r="G61" s="167">
        <v>-0.49172199999999999</v>
      </c>
      <c r="H61" s="167"/>
      <c r="I61" s="167">
        <f t="shared" si="37"/>
        <v>-113.786</v>
      </c>
      <c r="J61" s="167">
        <v>-356.866376</v>
      </c>
      <c r="K61" s="167">
        <f t="shared" si="38"/>
        <v>-80.444000000000003</v>
      </c>
      <c r="L61" s="167"/>
      <c r="M61" s="167">
        <v>-177.018404</v>
      </c>
      <c r="N61" s="215">
        <f t="shared" si="39"/>
        <v>1645.2090279999993</v>
      </c>
      <c r="O61" s="166">
        <v>381.15840800000001</v>
      </c>
      <c r="P61" s="167">
        <v>-19.886614999999999</v>
      </c>
      <c r="Q61" s="215">
        <f t="shared" si="41"/>
        <v>361.271793</v>
      </c>
      <c r="R61" s="210">
        <f t="shared" si="40"/>
        <v>2006.4808209999992</v>
      </c>
      <c r="U61" s="152"/>
      <c r="V61" s="107"/>
      <c r="Y61" s="14"/>
    </row>
    <row r="62" spans="1:25" x14ac:dyDescent="0.3">
      <c r="A62" s="96" t="s">
        <v>121</v>
      </c>
      <c r="B62" s="196">
        <v>2543.7549960000001</v>
      </c>
      <c r="C62" s="197">
        <v>-15.693</v>
      </c>
      <c r="D62" s="197">
        <f t="shared" ref="D62" si="42">C45*-1</f>
        <v>-77.624646999999996</v>
      </c>
      <c r="E62" s="197">
        <v>-5.5036389999999997</v>
      </c>
      <c r="F62" s="197">
        <f t="shared" si="36"/>
        <v>-7.3837799999999998</v>
      </c>
      <c r="G62" s="197">
        <v>-0.115467</v>
      </c>
      <c r="H62" s="197">
        <v>-4.1299679999999999</v>
      </c>
      <c r="I62" s="197">
        <f t="shared" si="37"/>
        <v>-110.651741</v>
      </c>
      <c r="J62" s="197">
        <v>-369.67685999999998</v>
      </c>
      <c r="K62" s="197">
        <f t="shared" si="38"/>
        <v>-0.12983700000000001</v>
      </c>
      <c r="L62" s="197">
        <f>H45*-1</f>
        <v>-40</v>
      </c>
      <c r="M62" s="197">
        <v>-185.825164</v>
      </c>
      <c r="N62" s="218">
        <f t="shared" ref="N62" si="43">SUM(B62:M62)</f>
        <v>1727.0208929999992</v>
      </c>
      <c r="O62" s="196">
        <v>339.44033300000001</v>
      </c>
      <c r="P62" s="197">
        <v>-21.509755999999999</v>
      </c>
      <c r="Q62" s="218">
        <f t="shared" ref="Q62:Q64" si="44">O62+P62</f>
        <v>317.93057700000003</v>
      </c>
      <c r="R62" s="213">
        <f t="shared" ref="R62:R63" si="45">N62+Q62</f>
        <v>2044.9514699999993</v>
      </c>
      <c r="U62" s="152"/>
      <c r="V62" s="107"/>
      <c r="Y62" s="14"/>
    </row>
    <row r="63" spans="1:25" x14ac:dyDescent="0.3">
      <c r="A63" s="92" t="s">
        <v>260</v>
      </c>
      <c r="B63" s="177">
        <v>2780.2687089999999</v>
      </c>
      <c r="C63" s="178">
        <v>18.524999999999999</v>
      </c>
      <c r="D63" s="178">
        <f>C46*-1</f>
        <v>-77.951887999999997</v>
      </c>
      <c r="E63" s="178">
        <v>-4.0284469999999999</v>
      </c>
      <c r="F63" s="178">
        <f t="shared" si="36"/>
        <v>-4.8252629999999996</v>
      </c>
      <c r="G63" s="178">
        <v>0.18679799999999999</v>
      </c>
      <c r="H63" s="178">
        <v>9.1851000000000002E-2</v>
      </c>
      <c r="I63" s="178">
        <f t="shared" si="37"/>
        <v>-109.992091</v>
      </c>
      <c r="J63" s="178">
        <v>-378.56676700000003</v>
      </c>
      <c r="K63" s="178">
        <f t="shared" si="38"/>
        <v>0</v>
      </c>
      <c r="L63" s="178">
        <f>H46*-1</f>
        <v>-67</v>
      </c>
      <c r="M63" s="178">
        <v>-186.915763</v>
      </c>
      <c r="N63" s="216">
        <f t="shared" ref="N63" si="46">SUM(B63:M63)</f>
        <v>1969.7921390000001</v>
      </c>
      <c r="O63" s="177">
        <v>322.73647199999999</v>
      </c>
      <c r="P63" s="178">
        <v>-20.217624000000001</v>
      </c>
      <c r="Q63" s="216">
        <f t="shared" si="44"/>
        <v>302.51884799999999</v>
      </c>
      <c r="R63" s="211">
        <f t="shared" si="45"/>
        <v>2272.3109870000003</v>
      </c>
      <c r="U63" s="21"/>
      <c r="V63" s="107"/>
      <c r="Y63" s="14"/>
    </row>
    <row r="64" spans="1:25" x14ac:dyDescent="0.3">
      <c r="A64" s="92" t="s">
        <v>298</v>
      </c>
      <c r="B64" s="177">
        <v>2594.0394634999998</v>
      </c>
      <c r="C64" s="178">
        <v>-0.94799999999999995</v>
      </c>
      <c r="D64" s="178">
        <f>C47*-1</f>
        <v>-87.546640920000002</v>
      </c>
      <c r="E64" s="178">
        <v>-25.679371459999999</v>
      </c>
      <c r="F64" s="178">
        <f t="shared" ref="F64" si="47">D47*-1</f>
        <v>-2.68181783</v>
      </c>
      <c r="G64" s="178">
        <v>-1.9415169999999999</v>
      </c>
      <c r="H64" s="178">
        <v>1.62485268</v>
      </c>
      <c r="I64" s="178">
        <f t="shared" ref="I64" si="48">G47*-1</f>
        <v>-116.15624212</v>
      </c>
      <c r="J64" s="178">
        <v>-370.41933344</v>
      </c>
      <c r="K64" s="178">
        <f t="shared" ref="K64" si="49">J47*-1</f>
        <v>-19.712</v>
      </c>
      <c r="L64" s="178">
        <f t="shared" ref="L64" si="50">H47*-1</f>
        <v>-60</v>
      </c>
      <c r="M64" s="178">
        <v>-178.11545203</v>
      </c>
      <c r="N64" s="216">
        <f t="shared" ref="N64" si="51">SUM(B64:M64)</f>
        <v>1732.4639413800001</v>
      </c>
      <c r="O64" s="177">
        <v>338.41760843999998</v>
      </c>
      <c r="P64" s="178">
        <v>-18.032165509999999</v>
      </c>
      <c r="Q64" s="216">
        <f t="shared" si="44"/>
        <v>320.38544292999995</v>
      </c>
      <c r="R64" s="211">
        <f>N64+Q64</f>
        <v>2052.84938431</v>
      </c>
      <c r="U64" s="21"/>
      <c r="V64" s="107"/>
      <c r="Y64" s="14"/>
    </row>
    <row r="65" spans="1:25" x14ac:dyDescent="0.3">
      <c r="A65" s="92" t="s">
        <v>310</v>
      </c>
      <c r="B65" s="177">
        <v>2616.2485664000001</v>
      </c>
      <c r="C65" s="178">
        <v>-2.246</v>
      </c>
      <c r="D65" s="178">
        <f>C48*-1</f>
        <v>-88.384671969999999</v>
      </c>
      <c r="E65" s="178">
        <v>-0.59102319999999997</v>
      </c>
      <c r="F65" s="178">
        <f>D48*-1</f>
        <v>-4.3747330699999996</v>
      </c>
      <c r="G65" s="178">
        <v>1.4416E-2</v>
      </c>
      <c r="H65" s="178">
        <v>0.45117499999999999</v>
      </c>
      <c r="I65" s="178">
        <f>G48*-1</f>
        <v>-134.63849524</v>
      </c>
      <c r="J65" s="178">
        <v>-386.52083372999999</v>
      </c>
      <c r="K65" s="178">
        <f>J48*-1</f>
        <v>-2.4441536300000002</v>
      </c>
      <c r="L65" s="178"/>
      <c r="M65" s="178">
        <v>-176.95531606</v>
      </c>
      <c r="N65" s="216">
        <f>SUM(B65:M65)</f>
        <v>1820.5589305000001</v>
      </c>
      <c r="O65" s="177">
        <v>389.80268125999999</v>
      </c>
      <c r="P65" s="178">
        <v>-19.982207559999999</v>
      </c>
      <c r="Q65" s="216">
        <f>O65+P65</f>
        <v>369.82047369999998</v>
      </c>
      <c r="R65" s="211">
        <f>N65+Q65</f>
        <v>2190.3794042</v>
      </c>
      <c r="U65" s="21"/>
      <c r="V65" s="107"/>
      <c r="Y65" s="14"/>
    </row>
    <row r="66" spans="1:25" x14ac:dyDescent="0.3">
      <c r="A66" s="96" t="s">
        <v>316</v>
      </c>
      <c r="B66" s="490">
        <v>2822.3466250000001</v>
      </c>
      <c r="C66" s="343">
        <v>-3.1530999999999998</v>
      </c>
      <c r="D66" s="197">
        <f>C49*-1</f>
        <v>-91.511599129999993</v>
      </c>
      <c r="E66" s="343">
        <v>-0.47304491999999998</v>
      </c>
      <c r="F66" s="197">
        <f>D49*-1</f>
        <v>-2.9634550200000001</v>
      </c>
      <c r="G66" s="343">
        <v>1.0113491999999999</v>
      </c>
      <c r="H66" s="343">
        <v>0.56793397999999995</v>
      </c>
      <c r="I66" s="197">
        <f>G49*-1</f>
        <v>-147.56825798</v>
      </c>
      <c r="J66" s="343">
        <v>-399.08537632000002</v>
      </c>
      <c r="K66" s="197">
        <f>J49*-1</f>
        <v>-25.254453170000001</v>
      </c>
      <c r="L66" s="343">
        <v>-20</v>
      </c>
      <c r="M66" s="343">
        <v>-197.94790924</v>
      </c>
      <c r="N66" s="218">
        <f>SUM(B66:M66)</f>
        <v>1935.9687124000004</v>
      </c>
      <c r="O66" s="490">
        <v>420.27150481000001</v>
      </c>
      <c r="P66" s="343">
        <v>-17.56194983</v>
      </c>
      <c r="Q66" s="218">
        <f>O66+P66</f>
        <v>402.70955498000001</v>
      </c>
      <c r="R66" s="213">
        <f>N66+Q66</f>
        <v>2338.6782673800003</v>
      </c>
      <c r="U66" s="21"/>
      <c r="V66" s="107"/>
      <c r="Y66" s="14"/>
    </row>
    <row r="67" spans="1:25" x14ac:dyDescent="0.3">
      <c r="A67" s="491" t="s">
        <v>360</v>
      </c>
      <c r="B67" s="502">
        <v>3316.1032245199999</v>
      </c>
      <c r="C67" s="503">
        <v>9.5774830000000005E-2</v>
      </c>
      <c r="D67" s="343">
        <f>C50*-1</f>
        <v>-88.633959809999993</v>
      </c>
      <c r="E67" s="503">
        <v>-8.13295016</v>
      </c>
      <c r="F67" s="343">
        <f>D50*-1</f>
        <v>-204.82215349000001</v>
      </c>
      <c r="G67" s="503">
        <v>-0.48008200000000001</v>
      </c>
      <c r="H67" s="503">
        <v>1.1498079999999999</v>
      </c>
      <c r="I67" s="343">
        <f>G50*-1</f>
        <v>-158.49660495000001</v>
      </c>
      <c r="J67" s="503">
        <v>-408.82226878</v>
      </c>
      <c r="K67" s="343">
        <f>J50*-1</f>
        <v>-13.74097617</v>
      </c>
      <c r="L67" s="503">
        <v>-35</v>
      </c>
      <c r="M67" s="503">
        <v>-390.53516232999999</v>
      </c>
      <c r="N67" s="505">
        <f>SUM(B67:M67)</f>
        <v>2008.6846496600008</v>
      </c>
      <c r="O67" s="502">
        <v>457.91218894999997</v>
      </c>
      <c r="P67" s="503">
        <v>-21.055807649999998</v>
      </c>
      <c r="Q67" s="505">
        <f>O67+P67</f>
        <v>436.85638129999995</v>
      </c>
      <c r="R67" s="504">
        <f>N67+Q67</f>
        <v>2445.5410309600006</v>
      </c>
      <c r="U67" s="21"/>
      <c r="V67" s="107"/>
      <c r="Y67" s="14"/>
    </row>
    <row r="68" spans="1:25" x14ac:dyDescent="0.3">
      <c r="Y68" s="14"/>
    </row>
  </sheetData>
  <mergeCells count="69">
    <mergeCell ref="A21:Y21"/>
    <mergeCell ref="R32:V32"/>
    <mergeCell ref="R33:V33"/>
    <mergeCell ref="B36:L36"/>
    <mergeCell ref="B53:N53"/>
    <mergeCell ref="O53:Q53"/>
    <mergeCell ref="B32:H32"/>
    <mergeCell ref="I32:M32"/>
    <mergeCell ref="N32:Q32"/>
    <mergeCell ref="A52:Y52"/>
    <mergeCell ref="W32:Y32"/>
    <mergeCell ref="B33:H33"/>
    <mergeCell ref="I33:M33"/>
    <mergeCell ref="N33:Q33"/>
    <mergeCell ref="W33:Y33"/>
    <mergeCell ref="A24:A33"/>
    <mergeCell ref="W31:Y31"/>
    <mergeCell ref="W30:Y30"/>
    <mergeCell ref="B31:E31"/>
    <mergeCell ref="F31:H31"/>
    <mergeCell ref="I31:M31"/>
    <mergeCell ref="N31:Q31"/>
    <mergeCell ref="B30:E30"/>
    <mergeCell ref="F30:H30"/>
    <mergeCell ref="I30:M30"/>
    <mergeCell ref="N30:Q30"/>
    <mergeCell ref="R31:V31"/>
    <mergeCell ref="W29:Y29"/>
    <mergeCell ref="B28:E28"/>
    <mergeCell ref="F28:H28"/>
    <mergeCell ref="I28:M28"/>
    <mergeCell ref="N28:Q28"/>
    <mergeCell ref="W28:Y28"/>
    <mergeCell ref="B29:E29"/>
    <mergeCell ref="F29:H29"/>
    <mergeCell ref="I29:M29"/>
    <mergeCell ref="N29:Q29"/>
    <mergeCell ref="R28:V28"/>
    <mergeCell ref="R29:V29"/>
    <mergeCell ref="W26:Y26"/>
    <mergeCell ref="B27:E27"/>
    <mergeCell ref="F27:H27"/>
    <mergeCell ref="I27:M27"/>
    <mergeCell ref="N27:Q27"/>
    <mergeCell ref="W27:Y27"/>
    <mergeCell ref="B26:E26"/>
    <mergeCell ref="F26:H26"/>
    <mergeCell ref="I26:M26"/>
    <mergeCell ref="N26:Q26"/>
    <mergeCell ref="R26:V26"/>
    <mergeCell ref="R27:V27"/>
    <mergeCell ref="W24:Y24"/>
    <mergeCell ref="B25:E25"/>
    <mergeCell ref="F25:H25"/>
    <mergeCell ref="I25:M25"/>
    <mergeCell ref="N25:Q25"/>
    <mergeCell ref="W25:Y25"/>
    <mergeCell ref="B24:E24"/>
    <mergeCell ref="F24:H24"/>
    <mergeCell ref="I24:M24"/>
    <mergeCell ref="N24:Q24"/>
    <mergeCell ref="R24:V24"/>
    <mergeCell ref="R25:V25"/>
    <mergeCell ref="W4:Y4"/>
    <mergeCell ref="B4:E4"/>
    <mergeCell ref="F4:H4"/>
    <mergeCell ref="I4:M4"/>
    <mergeCell ref="N4:Q4"/>
    <mergeCell ref="R4:V4"/>
  </mergeCells>
  <pageMargins left="0.19685039370078741" right="0.19685039370078741" top="0.39370078740157483" bottom="0.59055118110236227" header="0.31496062992125984" footer="0.31496062992125984"/>
  <pageSetup paperSize="8" scale="64" orientation="landscape" r:id="rId1"/>
  <headerFooter>
    <oddFooter>&amp;L&amp;"Arial Narrow,Standard"DFG, 9. April 2024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3"/>
  <sheetViews>
    <sheetView zoomScale="145" zoomScaleNormal="145" workbookViewId="0">
      <pane ySplit="5" topLeftCell="A21" activePane="bottomLeft" state="frozen"/>
      <selection pane="bottomLeft" activeCell="C30" sqref="C30"/>
    </sheetView>
    <sheetView view="pageBreakPreview" zoomScale="88" zoomScaleNormal="100" zoomScaleSheetLayoutView="115" workbookViewId="1">
      <pane ySplit="5" topLeftCell="A38" activePane="bottomLeft" state="frozen"/>
      <selection pane="bottomLeft" activeCell="L36" sqref="L36"/>
    </sheetView>
  </sheetViews>
  <sheetFormatPr baseColWidth="10" defaultColWidth="11.453125" defaultRowHeight="13" x14ac:dyDescent="0.3"/>
  <cols>
    <col min="1" max="1" width="5.90625" style="16" customWidth="1"/>
    <col min="2" max="3" width="7.6328125" style="2" customWidth="1"/>
    <col min="4" max="4" width="8.6328125" style="16" customWidth="1"/>
    <col min="5" max="5" width="8.54296875" style="16" customWidth="1"/>
    <col min="6" max="6" width="7.6328125" style="16" customWidth="1"/>
    <col min="7" max="7" width="8.6328125" style="16" customWidth="1"/>
    <col min="8" max="8" width="9" style="16" customWidth="1"/>
    <col min="9" max="10" width="9.54296875" style="16" customWidth="1"/>
    <col min="11" max="11" width="103.6328125" style="25" customWidth="1"/>
    <col min="12" max="12" width="100" style="25" customWidth="1"/>
    <col min="13" max="16384" width="11.453125" style="16"/>
  </cols>
  <sheetData>
    <row r="1" spans="1:12" s="19" customFormat="1" ht="15.5" x14ac:dyDescent="0.35">
      <c r="A1" s="18" t="s">
        <v>32</v>
      </c>
      <c r="B1" s="2"/>
      <c r="C1" s="2"/>
      <c r="D1" s="18"/>
      <c r="E1" s="18"/>
      <c r="F1" s="18"/>
      <c r="G1" s="18"/>
      <c r="H1" s="18"/>
      <c r="I1" s="18"/>
      <c r="J1" s="18"/>
      <c r="K1" s="23"/>
      <c r="L1" s="23"/>
    </row>
    <row r="2" spans="1:12" s="17" customFormat="1" ht="12.75" customHeight="1" x14ac:dyDescent="0.3">
      <c r="A2" s="604" t="s">
        <v>174</v>
      </c>
      <c r="B2" s="537"/>
      <c r="C2" s="537"/>
      <c r="D2" s="537"/>
      <c r="E2" s="537"/>
      <c r="F2" s="537"/>
      <c r="G2" s="537"/>
      <c r="H2" s="537"/>
      <c r="I2" s="537"/>
      <c r="J2" s="537"/>
      <c r="K2" s="537"/>
      <c r="L2" s="24"/>
    </row>
    <row r="3" spans="1:12" s="17" customFormat="1" ht="6.75" customHeight="1" x14ac:dyDescent="0.3">
      <c r="B3" s="2"/>
      <c r="C3" s="2"/>
      <c r="K3" s="24"/>
      <c r="L3" s="24"/>
    </row>
    <row r="4" spans="1:12" s="17" customFormat="1" ht="14.25" customHeight="1" x14ac:dyDescent="0.3">
      <c r="A4" s="60"/>
      <c r="B4" s="605" t="s">
        <v>30</v>
      </c>
      <c r="C4" s="606"/>
      <c r="D4" s="607"/>
      <c r="E4" s="605" t="s">
        <v>33</v>
      </c>
      <c r="F4" s="608"/>
      <c r="G4" s="607"/>
      <c r="H4" s="605" t="s">
        <v>28</v>
      </c>
      <c r="I4" s="607"/>
      <c r="J4" s="116" t="s">
        <v>36</v>
      </c>
      <c r="K4" s="61"/>
      <c r="L4" s="62"/>
    </row>
    <row r="5" spans="1:12" s="17" customFormat="1" ht="39" customHeight="1" x14ac:dyDescent="0.3">
      <c r="A5" s="332" t="s">
        <v>4</v>
      </c>
      <c r="B5" s="34" t="s">
        <v>24</v>
      </c>
      <c r="C5" s="94" t="s">
        <v>175</v>
      </c>
      <c r="D5" s="35" t="s">
        <v>222</v>
      </c>
      <c r="E5" s="36" t="s">
        <v>176</v>
      </c>
      <c r="F5" s="94" t="s">
        <v>175</v>
      </c>
      <c r="G5" s="35" t="s">
        <v>177</v>
      </c>
      <c r="H5" s="36" t="s">
        <v>178</v>
      </c>
      <c r="I5" s="35" t="s">
        <v>153</v>
      </c>
      <c r="J5" s="32" t="s">
        <v>154</v>
      </c>
      <c r="K5" s="37" t="s">
        <v>22</v>
      </c>
      <c r="L5" s="63" t="s">
        <v>23</v>
      </c>
    </row>
    <row r="6" spans="1:12" s="17" customFormat="1" ht="25.5" customHeight="1" x14ac:dyDescent="0.3">
      <c r="A6" s="288">
        <v>1997</v>
      </c>
      <c r="B6" s="289">
        <v>-5.0999999999999996</v>
      </c>
      <c r="C6" s="263">
        <f>8+8.891</f>
        <v>16.890999999999998</v>
      </c>
      <c r="D6" s="290">
        <f t="shared" ref="D6:D28" si="0">B6-C6</f>
        <v>-21.991</v>
      </c>
      <c r="E6" s="291">
        <v>-32.9</v>
      </c>
      <c r="F6" s="292">
        <v>8.42</v>
      </c>
      <c r="G6" s="293">
        <f t="shared" ref="G6:G21" si="1">E6-F6</f>
        <v>-41.32</v>
      </c>
      <c r="H6" s="294">
        <f t="shared" ref="H6:H28" si="2">D6-G6</f>
        <v>19.329000000000001</v>
      </c>
      <c r="I6" s="295">
        <f>H6/J6</f>
        <v>1.4425864906316588E-2</v>
      </c>
      <c r="J6" s="233">
        <f>1650.28-248.461-61.934</f>
        <v>1339.885</v>
      </c>
      <c r="K6" s="33" t="s">
        <v>179</v>
      </c>
      <c r="L6" s="64" t="s">
        <v>180</v>
      </c>
    </row>
    <row r="7" spans="1:12" s="17" customFormat="1" ht="25.5" customHeight="1" x14ac:dyDescent="0.3">
      <c r="A7" s="288">
        <v>1998</v>
      </c>
      <c r="B7" s="296">
        <v>-8.9</v>
      </c>
      <c r="C7" s="263">
        <f>-1.1+8.904</f>
        <v>7.8040000000000003</v>
      </c>
      <c r="D7" s="293">
        <f t="shared" si="0"/>
        <v>-16.704000000000001</v>
      </c>
      <c r="E7" s="297">
        <v>-67.2</v>
      </c>
      <c r="F7" s="292">
        <v>9.36</v>
      </c>
      <c r="G7" s="293">
        <f t="shared" si="1"/>
        <v>-76.56</v>
      </c>
      <c r="H7" s="298">
        <f t="shared" si="2"/>
        <v>59.856000000000002</v>
      </c>
      <c r="I7" s="299">
        <f t="shared" ref="I7:I28" si="3">H7/J7</f>
        <v>4.3483567256560017E-2</v>
      </c>
      <c r="J7" s="233">
        <f>1854.131-366.639-110.972</f>
        <v>1376.5200000000002</v>
      </c>
      <c r="K7" s="33" t="s">
        <v>181</v>
      </c>
      <c r="L7" s="64" t="s">
        <v>182</v>
      </c>
    </row>
    <row r="8" spans="1:12" s="17" customFormat="1" ht="25.5" customHeight="1" x14ac:dyDescent="0.3">
      <c r="A8" s="288">
        <v>1999</v>
      </c>
      <c r="B8" s="296">
        <v>-15.7</v>
      </c>
      <c r="C8" s="292">
        <v>0</v>
      </c>
      <c r="D8" s="293">
        <f t="shared" si="0"/>
        <v>-15.7</v>
      </c>
      <c r="E8" s="300">
        <f>-46.2</f>
        <v>-46.2</v>
      </c>
      <c r="F8" s="292">
        <v>0</v>
      </c>
      <c r="G8" s="293">
        <f t="shared" si="1"/>
        <v>-46.2</v>
      </c>
      <c r="H8" s="298">
        <f t="shared" si="2"/>
        <v>30.500000000000004</v>
      </c>
      <c r="I8" s="299">
        <f t="shared" si="3"/>
        <v>2.2104652848238877E-2</v>
      </c>
      <c r="J8" s="233">
        <v>1379.8</v>
      </c>
      <c r="K8" s="33"/>
      <c r="L8" s="64" t="s">
        <v>183</v>
      </c>
    </row>
    <row r="9" spans="1:12" s="17" customFormat="1" ht="25.5" customHeight="1" x14ac:dyDescent="0.3">
      <c r="A9" s="301">
        <v>2000</v>
      </c>
      <c r="B9" s="302">
        <v>-12.9</v>
      </c>
      <c r="C9" s="303">
        <v>0</v>
      </c>
      <c r="D9" s="304">
        <f t="shared" si="0"/>
        <v>-12.9</v>
      </c>
      <c r="E9" s="305">
        <f>-46.8</f>
        <v>-46.8</v>
      </c>
      <c r="F9" s="303">
        <v>0</v>
      </c>
      <c r="G9" s="304">
        <f t="shared" si="1"/>
        <v>-46.8</v>
      </c>
      <c r="H9" s="306">
        <f t="shared" si="2"/>
        <v>33.9</v>
      </c>
      <c r="I9" s="307">
        <f t="shared" si="3"/>
        <v>2.5011066843736166E-2</v>
      </c>
      <c r="J9" s="239">
        <f>1348.8+6.6</f>
        <v>1355.3999999999999</v>
      </c>
      <c r="K9" s="39"/>
      <c r="L9" s="65" t="s">
        <v>184</v>
      </c>
    </row>
    <row r="10" spans="1:12" s="17" customFormat="1" ht="25.5" customHeight="1" x14ac:dyDescent="0.3">
      <c r="A10" s="308">
        <v>2001</v>
      </c>
      <c r="B10" s="309">
        <v>-7.2</v>
      </c>
      <c r="C10" s="310">
        <v>0</v>
      </c>
      <c r="D10" s="311">
        <f t="shared" si="0"/>
        <v>-7.2</v>
      </c>
      <c r="E10" s="312">
        <f>-41.6</f>
        <v>-41.6</v>
      </c>
      <c r="F10" s="310">
        <v>0</v>
      </c>
      <c r="G10" s="311">
        <f t="shared" si="1"/>
        <v>-41.6</v>
      </c>
      <c r="H10" s="313">
        <f t="shared" si="2"/>
        <v>34.4</v>
      </c>
      <c r="I10" s="314">
        <f t="shared" si="3"/>
        <v>2.4239007891770012E-2</v>
      </c>
      <c r="J10" s="241">
        <f>1411.6+7.6</f>
        <v>1419.1999999999998</v>
      </c>
      <c r="K10" s="40"/>
      <c r="L10" s="66" t="s">
        <v>185</v>
      </c>
    </row>
    <row r="11" spans="1:12" s="17" customFormat="1" ht="25.5" customHeight="1" x14ac:dyDescent="0.3">
      <c r="A11" s="288">
        <v>2002</v>
      </c>
      <c r="B11" s="296">
        <v>-21.4</v>
      </c>
      <c r="C11" s="292">
        <v>0</v>
      </c>
      <c r="D11" s="293">
        <f t="shared" si="0"/>
        <v>-21.4</v>
      </c>
      <c r="E11" s="300">
        <v>-33.4</v>
      </c>
      <c r="F11" s="292">
        <v>0</v>
      </c>
      <c r="G11" s="293">
        <f t="shared" si="1"/>
        <v>-33.4</v>
      </c>
      <c r="H11" s="298">
        <f t="shared" si="2"/>
        <v>12</v>
      </c>
      <c r="I11" s="299">
        <f t="shared" si="3"/>
        <v>7.8848807411787906E-3</v>
      </c>
      <c r="J11" s="233">
        <f>1513.8+8.1</f>
        <v>1521.8999999999999</v>
      </c>
      <c r="K11" s="33"/>
      <c r="L11" s="64" t="s">
        <v>186</v>
      </c>
    </row>
    <row r="12" spans="1:12" s="17" customFormat="1" ht="25.5" customHeight="1" x14ac:dyDescent="0.3">
      <c r="A12" s="288">
        <v>2003</v>
      </c>
      <c r="B12" s="296">
        <v>-41.5</v>
      </c>
      <c r="C12" s="292">
        <v>0</v>
      </c>
      <c r="D12" s="293">
        <f t="shared" si="0"/>
        <v>-41.5</v>
      </c>
      <c r="E12" s="297">
        <v>-60.2</v>
      </c>
      <c r="F12" s="292">
        <v>0</v>
      </c>
      <c r="G12" s="293">
        <f t="shared" si="1"/>
        <v>-60.2</v>
      </c>
      <c r="H12" s="298">
        <f t="shared" si="2"/>
        <v>18.700000000000003</v>
      </c>
      <c r="I12" s="299">
        <f t="shared" si="3"/>
        <v>1.2199855819885766E-2</v>
      </c>
      <c r="J12" s="233">
        <f>1532.805</f>
        <v>1532.8050000000001</v>
      </c>
      <c r="K12" s="33"/>
      <c r="L12" s="64" t="s">
        <v>187</v>
      </c>
    </row>
    <row r="13" spans="1:12" s="17" customFormat="1" ht="25.5" customHeight="1" x14ac:dyDescent="0.3">
      <c r="A13" s="301">
        <v>2004</v>
      </c>
      <c r="B13" s="302">
        <v>20.3</v>
      </c>
      <c r="C13" s="315">
        <f>-29.8</f>
        <v>-29.8</v>
      </c>
      <c r="D13" s="304">
        <f t="shared" si="0"/>
        <v>50.1</v>
      </c>
      <c r="E13" s="305">
        <v>-20.9</v>
      </c>
      <c r="F13" s="303">
        <v>0</v>
      </c>
      <c r="G13" s="304">
        <f t="shared" si="1"/>
        <v>-20.9</v>
      </c>
      <c r="H13" s="306">
        <f t="shared" si="2"/>
        <v>71</v>
      </c>
      <c r="I13" s="307">
        <f t="shared" si="3"/>
        <v>4.6710526315789473E-2</v>
      </c>
      <c r="J13" s="239">
        <f>1519.9+0.1</f>
        <v>1520</v>
      </c>
      <c r="K13" s="39" t="s">
        <v>188</v>
      </c>
      <c r="L13" s="65" t="s">
        <v>189</v>
      </c>
    </row>
    <row r="14" spans="1:12" s="17" customFormat="1" ht="25.5" customHeight="1" x14ac:dyDescent="0.3">
      <c r="A14" s="308">
        <v>2005</v>
      </c>
      <c r="B14" s="309">
        <v>80.7</v>
      </c>
      <c r="C14" s="316">
        <f>-10</f>
        <v>-10</v>
      </c>
      <c r="D14" s="311">
        <f t="shared" si="0"/>
        <v>90.7</v>
      </c>
      <c r="E14" s="317">
        <v>-14.2</v>
      </c>
      <c r="F14" s="310">
        <v>0</v>
      </c>
      <c r="G14" s="311">
        <f t="shared" si="1"/>
        <v>-14.2</v>
      </c>
      <c r="H14" s="313">
        <f t="shared" si="2"/>
        <v>104.9</v>
      </c>
      <c r="I14" s="314">
        <f t="shared" si="3"/>
        <v>5.4649648345923424E-2</v>
      </c>
      <c r="J14" s="241">
        <f>1538.2+381.3</f>
        <v>1919.5</v>
      </c>
      <c r="K14" s="40" t="s">
        <v>259</v>
      </c>
      <c r="L14" s="66" t="s">
        <v>190</v>
      </c>
    </row>
    <row r="15" spans="1:12" s="17" customFormat="1" ht="25.5" customHeight="1" x14ac:dyDescent="0.3">
      <c r="A15" s="288">
        <v>2006</v>
      </c>
      <c r="B15" s="296">
        <v>357.1</v>
      </c>
      <c r="C15" s="263">
        <v>235.8</v>
      </c>
      <c r="D15" s="293">
        <f t="shared" si="0"/>
        <v>121.30000000000001</v>
      </c>
      <c r="E15" s="300">
        <v>45.6</v>
      </c>
      <c r="F15" s="292">
        <v>0</v>
      </c>
      <c r="G15" s="293">
        <f t="shared" si="1"/>
        <v>45.6</v>
      </c>
      <c r="H15" s="298">
        <f t="shared" si="2"/>
        <v>75.700000000000017</v>
      </c>
      <c r="I15" s="299">
        <f t="shared" si="3"/>
        <v>4.8036042896122857E-2</v>
      </c>
      <c r="J15" s="233">
        <v>1575.9</v>
      </c>
      <c r="K15" s="33" t="s">
        <v>191</v>
      </c>
      <c r="L15" s="64" t="s">
        <v>192</v>
      </c>
    </row>
    <row r="16" spans="1:12" s="17" customFormat="1" ht="25.5" customHeight="1" x14ac:dyDescent="0.3">
      <c r="A16" s="288">
        <v>2007</v>
      </c>
      <c r="B16" s="318">
        <v>50.1</v>
      </c>
      <c r="C16" s="263">
        <f>-53.8-56.1</f>
        <v>-109.9</v>
      </c>
      <c r="D16" s="293">
        <f t="shared" si="0"/>
        <v>160</v>
      </c>
      <c r="E16" s="300">
        <f>38.64</f>
        <v>38.64</v>
      </c>
      <c r="F16" s="292">
        <v>-27.5</v>
      </c>
      <c r="G16" s="293">
        <f t="shared" si="1"/>
        <v>66.14</v>
      </c>
      <c r="H16" s="298">
        <f t="shared" si="2"/>
        <v>93.86</v>
      </c>
      <c r="I16" s="299">
        <f t="shared" si="3"/>
        <v>5.6186602255006712E-2</v>
      </c>
      <c r="J16" s="233">
        <v>1670.5050000000001</v>
      </c>
      <c r="K16" s="33" t="s">
        <v>193</v>
      </c>
      <c r="L16" s="64" t="s">
        <v>194</v>
      </c>
    </row>
    <row r="17" spans="1:12" s="17" customFormat="1" ht="25.5" customHeight="1" x14ac:dyDescent="0.3">
      <c r="A17" s="301">
        <v>2008</v>
      </c>
      <c r="B17" s="319">
        <v>161.422</v>
      </c>
      <c r="C17" s="315">
        <v>-14.442</v>
      </c>
      <c r="D17" s="304">
        <f t="shared" si="0"/>
        <v>175.864</v>
      </c>
      <c r="E17" s="305">
        <v>55.911000000000001</v>
      </c>
      <c r="F17" s="303">
        <v>-72.8</v>
      </c>
      <c r="G17" s="304">
        <f t="shared" si="1"/>
        <v>128.71100000000001</v>
      </c>
      <c r="H17" s="306">
        <f t="shared" si="2"/>
        <v>47.152999999999992</v>
      </c>
      <c r="I17" s="307">
        <f t="shared" si="3"/>
        <v>2.5695057490055035E-2</v>
      </c>
      <c r="J17" s="242">
        <v>1835.1</v>
      </c>
      <c r="K17" s="39" t="s">
        <v>195</v>
      </c>
      <c r="L17" s="65" t="s">
        <v>196</v>
      </c>
    </row>
    <row r="18" spans="1:12" s="17" customFormat="1" ht="25.5" customHeight="1" x14ac:dyDescent="0.3">
      <c r="A18" s="308">
        <v>2009</v>
      </c>
      <c r="B18" s="309">
        <v>312.5</v>
      </c>
      <c r="C18" s="316">
        <f>195-9.1</f>
        <v>185.9</v>
      </c>
      <c r="D18" s="311">
        <f t="shared" si="0"/>
        <v>126.6</v>
      </c>
      <c r="E18" s="317">
        <v>14.781000000000001</v>
      </c>
      <c r="F18" s="310">
        <v>-13.53</v>
      </c>
      <c r="G18" s="311">
        <f t="shared" si="1"/>
        <v>28.311</v>
      </c>
      <c r="H18" s="313">
        <f t="shared" si="2"/>
        <v>98.288999999999987</v>
      </c>
      <c r="I18" s="314">
        <f t="shared" si="3"/>
        <v>5.2863443231323609E-2</v>
      </c>
      <c r="J18" s="243">
        <f>1845.1+9.9+4.3</f>
        <v>1859.3</v>
      </c>
      <c r="K18" s="40" t="s">
        <v>197</v>
      </c>
      <c r="L18" s="66" t="s">
        <v>198</v>
      </c>
    </row>
    <row r="19" spans="1:12" s="17" customFormat="1" ht="25.5" customHeight="1" x14ac:dyDescent="0.3">
      <c r="A19" s="288">
        <v>2010</v>
      </c>
      <c r="B19" s="296">
        <v>119.5</v>
      </c>
      <c r="C19" s="263">
        <v>10.9</v>
      </c>
      <c r="D19" s="293">
        <f t="shared" si="0"/>
        <v>108.6</v>
      </c>
      <c r="E19" s="300">
        <v>-40.688000000000002</v>
      </c>
      <c r="F19" s="292">
        <v>-5.7750000000000004</v>
      </c>
      <c r="G19" s="293">
        <f t="shared" si="1"/>
        <v>-34.913000000000004</v>
      </c>
      <c r="H19" s="298">
        <f t="shared" si="2"/>
        <v>143.51300000000001</v>
      </c>
      <c r="I19" s="299">
        <f t="shared" si="3"/>
        <v>7.4945427959684577E-2</v>
      </c>
      <c r="J19" s="233">
        <f>1898.1+3.4+13.4</f>
        <v>1914.9</v>
      </c>
      <c r="K19" s="33" t="s">
        <v>199</v>
      </c>
      <c r="L19" s="64" t="s">
        <v>200</v>
      </c>
    </row>
    <row r="20" spans="1:12" s="17" customFormat="1" ht="25.5" customHeight="1" x14ac:dyDescent="0.3">
      <c r="A20" s="288">
        <v>2011</v>
      </c>
      <c r="B20" s="296">
        <v>-154.99999999999997</v>
      </c>
      <c r="C20" s="263">
        <v>-257.89999999999998</v>
      </c>
      <c r="D20" s="293">
        <f t="shared" si="0"/>
        <v>102.9</v>
      </c>
      <c r="E20" s="300">
        <f>-284.045+258.265</f>
        <v>-25.78000000000003</v>
      </c>
      <c r="F20" s="292">
        <v>-5.03</v>
      </c>
      <c r="G20" s="293">
        <f t="shared" si="1"/>
        <v>-20.750000000000028</v>
      </c>
      <c r="H20" s="298">
        <f t="shared" si="2"/>
        <v>123.65000000000003</v>
      </c>
      <c r="I20" s="299">
        <f t="shared" si="3"/>
        <v>6.5957219821838178E-2</v>
      </c>
      <c r="J20" s="233">
        <f>1861.1+9.4+4.2</f>
        <v>1874.7</v>
      </c>
      <c r="K20" s="33" t="s">
        <v>201</v>
      </c>
      <c r="L20" s="64" t="s">
        <v>202</v>
      </c>
    </row>
    <row r="21" spans="1:12" s="17" customFormat="1" ht="25.5" customHeight="1" x14ac:dyDescent="0.3">
      <c r="A21" s="301" t="s">
        <v>34</v>
      </c>
      <c r="B21" s="302">
        <v>48.800000000000004</v>
      </c>
      <c r="C21" s="315">
        <v>5.0999999999999996</v>
      </c>
      <c r="D21" s="304">
        <f t="shared" si="0"/>
        <v>43.7</v>
      </c>
      <c r="E21" s="305">
        <f>-33.63+0.08+4.584</f>
        <v>-28.966000000000005</v>
      </c>
      <c r="F21" s="303">
        <v>-3.1669999999999998</v>
      </c>
      <c r="G21" s="304">
        <f t="shared" si="1"/>
        <v>-25.799000000000007</v>
      </c>
      <c r="H21" s="306">
        <f t="shared" si="2"/>
        <v>69.499000000000009</v>
      </c>
      <c r="I21" s="307">
        <f t="shared" si="3"/>
        <v>3.3482198776316432E-2</v>
      </c>
      <c r="J21" s="239">
        <f>1971.6+96.9+5+2.2</f>
        <v>2075.6999999999998</v>
      </c>
      <c r="K21" s="39" t="s">
        <v>203</v>
      </c>
      <c r="L21" s="65"/>
    </row>
    <row r="22" spans="1:12" s="17" customFormat="1" ht="25.5" customHeight="1" x14ac:dyDescent="0.3">
      <c r="A22" s="308" t="s">
        <v>99</v>
      </c>
      <c r="B22" s="320">
        <v>-33.548000000000002</v>
      </c>
      <c r="C22" s="316">
        <v>-73.081000000000003</v>
      </c>
      <c r="D22" s="311">
        <f t="shared" si="0"/>
        <v>39.533000000000001</v>
      </c>
      <c r="E22" s="317">
        <v>-52.514000000000003</v>
      </c>
      <c r="F22" s="310">
        <v>0</v>
      </c>
      <c r="G22" s="311">
        <v>-52.514000000000003</v>
      </c>
      <c r="H22" s="313">
        <f t="shared" si="2"/>
        <v>92.046999999999997</v>
      </c>
      <c r="I22" s="314">
        <f t="shared" si="3"/>
        <v>4.8873667292780962E-2</v>
      </c>
      <c r="J22" s="241">
        <v>1883.3659329999998</v>
      </c>
      <c r="K22" s="40" t="s">
        <v>204</v>
      </c>
      <c r="L22" s="66" t="s">
        <v>205</v>
      </c>
    </row>
    <row r="23" spans="1:12" s="17" customFormat="1" ht="25.5" customHeight="1" x14ac:dyDescent="0.3">
      <c r="A23" s="288">
        <v>2014</v>
      </c>
      <c r="B23" s="318">
        <v>55.155999999999999</v>
      </c>
      <c r="C23" s="263">
        <v>11.436</v>
      </c>
      <c r="D23" s="293">
        <f t="shared" si="0"/>
        <v>43.72</v>
      </c>
      <c r="E23" s="300">
        <v>-58.4</v>
      </c>
      <c r="F23" s="292">
        <v>0</v>
      </c>
      <c r="G23" s="293">
        <v>-58.4</v>
      </c>
      <c r="H23" s="298">
        <f t="shared" si="2"/>
        <v>102.12</v>
      </c>
      <c r="I23" s="299">
        <f t="shared" si="3"/>
        <v>5.3934472300203339E-2</v>
      </c>
      <c r="J23" s="233">
        <v>1893.4087169999993</v>
      </c>
      <c r="K23" s="33" t="s">
        <v>206</v>
      </c>
      <c r="L23" s="64" t="s">
        <v>207</v>
      </c>
    </row>
    <row r="24" spans="1:12" s="17" customFormat="1" ht="25.5" customHeight="1" x14ac:dyDescent="0.3">
      <c r="A24" s="288">
        <v>2015</v>
      </c>
      <c r="B24" s="318">
        <v>16.680000000000007</v>
      </c>
      <c r="C24" s="263">
        <v>-43.16</v>
      </c>
      <c r="D24" s="293">
        <f t="shared" si="0"/>
        <v>59.84</v>
      </c>
      <c r="E24" s="300">
        <v>-54.917000000000002</v>
      </c>
      <c r="F24" s="292">
        <v>8</v>
      </c>
      <c r="G24" s="293">
        <v>-62.917000000000002</v>
      </c>
      <c r="H24" s="298">
        <f t="shared" si="2"/>
        <v>122.75700000000001</v>
      </c>
      <c r="I24" s="299">
        <f t="shared" si="3"/>
        <v>6.3832118216768888E-2</v>
      </c>
      <c r="J24" s="233">
        <v>1923.1227699999995</v>
      </c>
      <c r="K24" s="33" t="s">
        <v>208</v>
      </c>
      <c r="L24" s="64" t="s">
        <v>209</v>
      </c>
    </row>
    <row r="25" spans="1:12" s="17" customFormat="1" ht="25.5" customHeight="1" x14ac:dyDescent="0.3">
      <c r="A25" s="301">
        <v>2016</v>
      </c>
      <c r="B25" s="302">
        <v>-51.468000000000004</v>
      </c>
      <c r="C25" s="315">
        <v>-67.900000000000006</v>
      </c>
      <c r="D25" s="304">
        <f t="shared" si="0"/>
        <v>16.432000000000002</v>
      </c>
      <c r="E25" s="305">
        <v>-50.816000000000003</v>
      </c>
      <c r="F25" s="303">
        <v>5</v>
      </c>
      <c r="G25" s="304">
        <v>-55.8</v>
      </c>
      <c r="H25" s="306">
        <f t="shared" si="2"/>
        <v>72.231999999999999</v>
      </c>
      <c r="I25" s="307">
        <f t="shared" si="3"/>
        <v>3.7129544368604231E-2</v>
      </c>
      <c r="J25" s="239">
        <v>1945.4049659999998</v>
      </c>
      <c r="K25" s="39" t="s">
        <v>210</v>
      </c>
      <c r="L25" s="65" t="s">
        <v>211</v>
      </c>
    </row>
    <row r="26" spans="1:12" s="17" customFormat="1" ht="25.5" customHeight="1" x14ac:dyDescent="0.3">
      <c r="A26" s="308">
        <v>2017</v>
      </c>
      <c r="B26" s="309">
        <v>128.80000000000001</v>
      </c>
      <c r="C26" s="316">
        <v>50.8</v>
      </c>
      <c r="D26" s="311">
        <f t="shared" si="0"/>
        <v>78.000000000000014</v>
      </c>
      <c r="E26" s="317">
        <v>-20.126000000000001</v>
      </c>
      <c r="F26" s="310">
        <v>7.4</v>
      </c>
      <c r="G26" s="311">
        <v>-27.526</v>
      </c>
      <c r="H26" s="313">
        <f t="shared" si="2"/>
        <v>105.52600000000001</v>
      </c>
      <c r="I26" s="314">
        <f t="shared" si="3"/>
        <v>5.3151529281103241E-2</v>
      </c>
      <c r="J26" s="241">
        <v>1985.3803160000002</v>
      </c>
      <c r="K26" s="40" t="s">
        <v>212</v>
      </c>
      <c r="L26" s="66" t="s">
        <v>213</v>
      </c>
    </row>
    <row r="27" spans="1:12" s="17" customFormat="1" ht="25.5" customHeight="1" x14ac:dyDescent="0.3">
      <c r="A27" s="288">
        <v>2018</v>
      </c>
      <c r="B27" s="296">
        <v>2.7000000000000028</v>
      </c>
      <c r="C27" s="263">
        <v>-102.5</v>
      </c>
      <c r="D27" s="293">
        <f t="shared" si="0"/>
        <v>105.2</v>
      </c>
      <c r="E27" s="300">
        <f>-23.2+0.4</f>
        <v>-22.8</v>
      </c>
      <c r="F27" s="292">
        <v>10.1</v>
      </c>
      <c r="G27" s="293">
        <f>-33.252+0.4</f>
        <v>-32.852000000000004</v>
      </c>
      <c r="H27" s="298">
        <f t="shared" si="2"/>
        <v>138.05200000000002</v>
      </c>
      <c r="I27" s="321">
        <f t="shared" si="3"/>
        <v>6.913023854867241E-2</v>
      </c>
      <c r="J27" s="233">
        <v>1996.984285</v>
      </c>
      <c r="K27" s="33" t="s">
        <v>214</v>
      </c>
      <c r="L27" s="64" t="s">
        <v>215</v>
      </c>
    </row>
    <row r="28" spans="1:12" s="17" customFormat="1" ht="25.5" customHeight="1" x14ac:dyDescent="0.3">
      <c r="A28" s="288">
        <v>2019</v>
      </c>
      <c r="B28" s="296">
        <v>53.616948999999998</v>
      </c>
      <c r="C28" s="263">
        <v>-61.879733999999999</v>
      </c>
      <c r="D28" s="293">
        <f t="shared" si="0"/>
        <v>115.49668299999999</v>
      </c>
      <c r="E28" s="300">
        <v>-33.677</v>
      </c>
      <c r="F28" s="292">
        <v>13.936999999999999</v>
      </c>
      <c r="G28" s="293">
        <v>-47.613999999999997</v>
      </c>
      <c r="H28" s="298">
        <f t="shared" si="2"/>
        <v>163.11068299999999</v>
      </c>
      <c r="I28" s="321">
        <f t="shared" si="3"/>
        <v>8.1291922301409358E-2</v>
      </c>
      <c r="J28" s="233">
        <v>2006.4808209999992</v>
      </c>
      <c r="K28" s="33" t="s">
        <v>216</v>
      </c>
      <c r="L28" s="64" t="s">
        <v>217</v>
      </c>
    </row>
    <row r="29" spans="1:12" s="17" customFormat="1" ht="25.5" customHeight="1" x14ac:dyDescent="0.3">
      <c r="A29" s="322">
        <v>2020</v>
      </c>
      <c r="B29" s="323">
        <v>81.899647000000002</v>
      </c>
      <c r="C29" s="324">
        <v>3.1282920000000001</v>
      </c>
      <c r="D29" s="325">
        <f t="shared" ref="D29:D32" si="4">B29-C29</f>
        <v>78.771355</v>
      </c>
      <c r="E29" s="326">
        <v>-33.055999999999997</v>
      </c>
      <c r="F29" s="327">
        <v>13.592000000000001</v>
      </c>
      <c r="G29" s="325">
        <f t="shared" ref="G29:G32" si="5">E29-F29</f>
        <v>-46.647999999999996</v>
      </c>
      <c r="H29" s="328">
        <f t="shared" ref="H29:H34" si="6">D29-G29</f>
        <v>125.419355</v>
      </c>
      <c r="I29" s="329">
        <f t="shared" ref="I29" si="7">H29/J29</f>
        <v>6.1331213400384527E-2</v>
      </c>
      <c r="J29" s="242">
        <v>2044.9514699999993</v>
      </c>
      <c r="K29" s="135" t="s">
        <v>218</v>
      </c>
      <c r="L29" s="136" t="s">
        <v>219</v>
      </c>
    </row>
    <row r="30" spans="1:12" s="17" customFormat="1" ht="25.5" customHeight="1" x14ac:dyDescent="0.3">
      <c r="A30" s="308">
        <v>2021</v>
      </c>
      <c r="B30" s="309">
        <f>Schlüsselgrössen!D29</f>
        <v>134.30065300000024</v>
      </c>
      <c r="C30" s="316">
        <v>-5.1338739999999996</v>
      </c>
      <c r="D30" s="311">
        <f t="shared" si="4"/>
        <v>139.43452700000023</v>
      </c>
      <c r="E30" s="317">
        <v>-34.21</v>
      </c>
      <c r="F30" s="310">
        <v>21.44</v>
      </c>
      <c r="G30" s="311">
        <f t="shared" si="5"/>
        <v>-55.650000000000006</v>
      </c>
      <c r="H30" s="313">
        <f t="shared" si="6"/>
        <v>195.08452700000024</v>
      </c>
      <c r="I30" s="330">
        <f>H30/J30</f>
        <v>8.5852917191391556E-2</v>
      </c>
      <c r="J30" s="241">
        <f>'HRM2-Kennzahlen ab 2013'!R63</f>
        <v>2272.3109870000003</v>
      </c>
      <c r="K30" s="40" t="s">
        <v>261</v>
      </c>
      <c r="L30" s="66" t="s">
        <v>262</v>
      </c>
    </row>
    <row r="31" spans="1:12" s="17" customFormat="1" ht="25.5" customHeight="1" x14ac:dyDescent="0.3">
      <c r="A31" s="332">
        <v>2022</v>
      </c>
      <c r="B31" s="289">
        <f>Schlüsselgrössen!D30</f>
        <v>205.58511400000043</v>
      </c>
      <c r="C31" s="414">
        <v>-10.28928</v>
      </c>
      <c r="D31" s="290">
        <f t="shared" si="4"/>
        <v>215.87439400000042</v>
      </c>
      <c r="E31" s="291">
        <v>-8.9619999999999997</v>
      </c>
      <c r="F31" s="415">
        <v>32.784999999999997</v>
      </c>
      <c r="G31" s="290">
        <f t="shared" si="5"/>
        <v>-41.747</v>
      </c>
      <c r="H31" s="294">
        <f t="shared" si="6"/>
        <v>257.62139400000041</v>
      </c>
      <c r="I31" s="416">
        <f>H31/J31</f>
        <v>0.12549454235123617</v>
      </c>
      <c r="J31" s="227">
        <f>'HRM2-Kennzahlen ab 2013'!R64</f>
        <v>2052.84938431</v>
      </c>
      <c r="K31" s="417" t="s">
        <v>311</v>
      </c>
      <c r="L31" s="418" t="s">
        <v>300</v>
      </c>
    </row>
    <row r="32" spans="1:12" s="17" customFormat="1" ht="25.5" customHeight="1" x14ac:dyDescent="0.3">
      <c r="A32" s="332">
        <v>2023</v>
      </c>
      <c r="B32" s="289">
        <f>Schlüsselgrössen!D31</f>
        <v>162.36581848000014</v>
      </c>
      <c r="C32" s="414">
        <v>41.9089758</v>
      </c>
      <c r="D32" s="290">
        <f t="shared" si="4"/>
        <v>120.45684268000014</v>
      </c>
      <c r="E32" s="291">
        <v>-11.205</v>
      </c>
      <c r="F32" s="415">
        <v>27.858000000000001</v>
      </c>
      <c r="G32" s="290">
        <f t="shared" si="5"/>
        <v>-39.063000000000002</v>
      </c>
      <c r="H32" s="294">
        <f t="shared" si="6"/>
        <v>159.51984268000012</v>
      </c>
      <c r="I32" s="416">
        <f>H32/J32</f>
        <v>7.28274938917544E-2</v>
      </c>
      <c r="J32" s="227">
        <f>'HRM2-Kennzahlen ab 2013'!R65</f>
        <v>2190.3794042</v>
      </c>
      <c r="K32" s="417" t="s">
        <v>312</v>
      </c>
      <c r="L32" s="441" t="s">
        <v>313</v>
      </c>
    </row>
    <row r="33" spans="1:12" s="17" customFormat="1" ht="25.5" customHeight="1" x14ac:dyDescent="0.3">
      <c r="A33" s="322">
        <v>2024</v>
      </c>
      <c r="B33" s="323">
        <v>87.697453359999997</v>
      </c>
      <c r="C33" s="324">
        <v>3.3548976800000001</v>
      </c>
      <c r="D33" s="325">
        <v>84.342555680000004</v>
      </c>
      <c r="E33" s="326">
        <f>-49.594+2.675</f>
        <v>-46.919000000000004</v>
      </c>
      <c r="F33" s="327">
        <v>24.722000000000001</v>
      </c>
      <c r="G33" s="325">
        <f>E33-F33</f>
        <v>-71.641000000000005</v>
      </c>
      <c r="H33" s="328">
        <f t="shared" si="6"/>
        <v>155.98355567999999</v>
      </c>
      <c r="I33" s="329">
        <f>H33/J33</f>
        <v>6.6697312689678739E-2</v>
      </c>
      <c r="J33" s="242">
        <f>'HRM2-Kennzahlen ab 2013'!R66</f>
        <v>2338.6782673800003</v>
      </c>
      <c r="K33" s="135" t="s">
        <v>327</v>
      </c>
      <c r="L33" s="136" t="s">
        <v>321</v>
      </c>
    </row>
    <row r="34" spans="1:12" s="17" customFormat="1" ht="26" x14ac:dyDescent="0.3">
      <c r="A34" s="331">
        <v>2025</v>
      </c>
      <c r="B34" s="506">
        <v>-218.53720759000001</v>
      </c>
      <c r="C34" s="443">
        <v>-10.384288509999999</v>
      </c>
      <c r="D34" s="444">
        <v>-208.15291908</v>
      </c>
      <c r="E34" s="326">
        <f>-90.513+3.28</f>
        <v>-87.233000000000004</v>
      </c>
      <c r="F34" s="442">
        <v>31.08</v>
      </c>
      <c r="G34" s="444">
        <f>E34-F34</f>
        <v>-118.313</v>
      </c>
      <c r="H34" s="445">
        <f t="shared" si="6"/>
        <v>-89.839919080000001</v>
      </c>
      <c r="I34" s="446">
        <f>H34/J34</f>
        <v>-3.6736214172098026E-2</v>
      </c>
      <c r="J34" s="447">
        <f>'HRM2-Kennzahlen ab 2013'!R67</f>
        <v>2445.5410309600006</v>
      </c>
      <c r="K34" s="637" t="s">
        <v>378</v>
      </c>
      <c r="L34" s="638" t="s">
        <v>368</v>
      </c>
    </row>
    <row r="35" spans="1:12" ht="4.5" customHeight="1" x14ac:dyDescent="0.3"/>
    <row r="36" spans="1:12" s="17" customFormat="1" x14ac:dyDescent="0.3">
      <c r="A36" s="17" t="s">
        <v>220</v>
      </c>
      <c r="B36" s="2"/>
      <c r="C36" s="2"/>
      <c r="K36" s="24"/>
      <c r="L36" s="24"/>
    </row>
    <row r="37" spans="1:12" ht="15" x14ac:dyDescent="0.3">
      <c r="A37" s="17" t="s">
        <v>35</v>
      </c>
    </row>
    <row r="38" spans="1:12" ht="15" x14ac:dyDescent="0.3">
      <c r="A38" s="17" t="s">
        <v>25</v>
      </c>
      <c r="B38" s="21"/>
    </row>
    <row r="39" spans="1:12" ht="15" x14ac:dyDescent="0.3">
      <c r="A39" s="17" t="s">
        <v>26</v>
      </c>
    </row>
    <row r="40" spans="1:12" ht="15" x14ac:dyDescent="0.3">
      <c r="A40" s="17" t="s">
        <v>328</v>
      </c>
    </row>
    <row r="41" spans="1:12" ht="15" x14ac:dyDescent="0.3">
      <c r="A41" s="29" t="s">
        <v>364</v>
      </c>
    </row>
    <row r="42" spans="1:12" ht="4.5" customHeight="1" x14ac:dyDescent="0.3"/>
    <row r="43" spans="1:12" s="17" customFormat="1" ht="25.5" customHeight="1" x14ac:dyDescent="0.3">
      <c r="A43" s="71" t="s">
        <v>223</v>
      </c>
      <c r="B43" s="309">
        <f t="shared" ref="B43:J43" si="8">AVERAGE(B6:B12)</f>
        <v>-16.100000000000001</v>
      </c>
      <c r="C43" s="333">
        <f t="shared" si="8"/>
        <v>3.527857142857143</v>
      </c>
      <c r="D43" s="333">
        <f t="shared" si="8"/>
        <v>-19.627857142857145</v>
      </c>
      <c r="E43" s="309">
        <f t="shared" si="8"/>
        <v>-46.9</v>
      </c>
      <c r="F43" s="333">
        <f t="shared" si="8"/>
        <v>2.54</v>
      </c>
      <c r="G43" s="334">
        <f t="shared" si="8"/>
        <v>-49.44</v>
      </c>
      <c r="H43" s="333">
        <f t="shared" si="8"/>
        <v>29.812142857142856</v>
      </c>
      <c r="I43" s="335">
        <f t="shared" si="8"/>
        <v>2.1335556615383746E-2</v>
      </c>
      <c r="J43" s="187">
        <f t="shared" si="8"/>
        <v>1417.93</v>
      </c>
      <c r="K43" s="72"/>
      <c r="L43" s="73"/>
    </row>
    <row r="44" spans="1:12" s="17" customFormat="1" ht="25.5" customHeight="1" x14ac:dyDescent="0.3">
      <c r="A44" s="74" t="s">
        <v>365</v>
      </c>
      <c r="B44" s="318">
        <f>AVERAGE(B13:B34)</f>
        <v>73.666837602272778</v>
      </c>
      <c r="C44" s="263">
        <f t="shared" ref="C44:I44" si="9">AVERAGE(C13:C34)</f>
        <v>-11.274636865000002</v>
      </c>
      <c r="D44" s="263">
        <f t="shared" si="9"/>
        <v>84.941474467272769</v>
      </c>
      <c r="E44" s="318">
        <f t="shared" si="9"/>
        <v>-22.292590909090908</v>
      </c>
      <c r="F44" s="263">
        <f t="shared" si="9"/>
        <v>3.0959999999999992</v>
      </c>
      <c r="G44" s="337">
        <f t="shared" si="9"/>
        <v>-25.385681818181819</v>
      </c>
      <c r="H44" s="263">
        <f t="shared" si="9"/>
        <v>110.32715628545458</v>
      </c>
      <c r="I44" s="338">
        <f t="shared" si="9"/>
        <v>5.6424405670634108E-2</v>
      </c>
      <c r="J44" s="173">
        <f>AVERAGE(J13:J34)</f>
        <v>1964.7483341749992</v>
      </c>
      <c r="K44" s="22"/>
      <c r="L44" s="75"/>
    </row>
    <row r="45" spans="1:12" s="17" customFormat="1" ht="25.5" customHeight="1" x14ac:dyDescent="0.3">
      <c r="A45" s="76" t="s">
        <v>366</v>
      </c>
      <c r="B45" s="340">
        <f>AVERAGE(B6:B34)</f>
        <v>51.998980250000031</v>
      </c>
      <c r="C45" s="324">
        <f t="shared" ref="C45:I45" si="10">AVERAGE(C6:C34)</f>
        <v>-7.701621069999999</v>
      </c>
      <c r="D45" s="324">
        <f t="shared" si="10"/>
        <v>59.70060132000004</v>
      </c>
      <c r="E45" s="340">
        <f t="shared" si="10"/>
        <v>-28.232310344827589</v>
      </c>
      <c r="F45" s="324">
        <f t="shared" si="10"/>
        <v>2.9617931034482758</v>
      </c>
      <c r="G45" s="341">
        <f>AVERAGE(G6:G34)</f>
        <v>-31.191896551724135</v>
      </c>
      <c r="H45" s="324">
        <f t="shared" si="10"/>
        <v>90.89249787172416</v>
      </c>
      <c r="I45" s="342">
        <f t="shared" si="10"/>
        <v>4.7954683484884013E-2</v>
      </c>
      <c r="J45" s="343">
        <f>AVERAGE(J6:J34)</f>
        <v>1832.7577017879307</v>
      </c>
      <c r="K45" s="77"/>
      <c r="L45" s="78"/>
    </row>
    <row r="46" spans="1:12" s="17" customFormat="1" ht="4.5" customHeight="1" x14ac:dyDescent="0.3">
      <c r="A46" s="67"/>
      <c r="B46" s="68"/>
      <c r="C46" s="68"/>
      <c r="D46" s="69"/>
      <c r="E46" s="69"/>
      <c r="F46" s="69"/>
      <c r="G46" s="69"/>
      <c r="H46" s="69"/>
      <c r="I46" s="70"/>
      <c r="J46" s="69"/>
      <c r="K46" s="38"/>
      <c r="L46" s="38"/>
    </row>
    <row r="47" spans="1:12" x14ac:dyDescent="0.3">
      <c r="A47" s="609" t="s">
        <v>89</v>
      </c>
      <c r="B47" s="610"/>
      <c r="C47" s="610"/>
      <c r="D47" s="610"/>
      <c r="E47" s="610"/>
      <c r="F47" s="610"/>
      <c r="G47" s="610"/>
      <c r="H47" s="610"/>
      <c r="I47" s="610"/>
      <c r="J47" s="610"/>
      <c r="K47" s="610"/>
    </row>
    <row r="48" spans="1:12" s="17" customFormat="1" ht="25.5" customHeight="1" x14ac:dyDescent="0.3">
      <c r="A48" s="71" t="s">
        <v>224</v>
      </c>
      <c r="B48" s="309">
        <f t="shared" ref="B48:I48" si="11">AVERAGE(B14:B17)</f>
        <v>162.3305</v>
      </c>
      <c r="C48" s="333">
        <f t="shared" si="11"/>
        <v>25.3645</v>
      </c>
      <c r="D48" s="333">
        <f t="shared" si="11"/>
        <v>136.96600000000001</v>
      </c>
      <c r="E48" s="309">
        <f t="shared" si="11"/>
        <v>31.487750000000002</v>
      </c>
      <c r="F48" s="333">
        <f t="shared" si="11"/>
        <v>-25.074999999999999</v>
      </c>
      <c r="G48" s="334">
        <f t="shared" si="11"/>
        <v>56.562750000000008</v>
      </c>
      <c r="H48" s="333">
        <f t="shared" si="11"/>
        <v>80.403250000000014</v>
      </c>
      <c r="I48" s="335">
        <f t="shared" si="11"/>
        <v>4.6141837746777013E-2</v>
      </c>
      <c r="J48" s="187">
        <f>AVERAGE(J14:J17)</f>
        <v>1750.2512500000003</v>
      </c>
      <c r="K48" s="72"/>
      <c r="L48" s="73"/>
    </row>
    <row r="49" spans="1:12" s="17" customFormat="1" ht="25.5" customHeight="1" x14ac:dyDescent="0.3">
      <c r="A49" s="74" t="s">
        <v>90</v>
      </c>
      <c r="B49" s="296">
        <f t="shared" ref="B49:J49" si="12">AVERAGE(B18:B21)</f>
        <v>81.45</v>
      </c>
      <c r="C49" s="336">
        <f t="shared" si="12"/>
        <v>-13.999999999999991</v>
      </c>
      <c r="D49" s="336">
        <f t="shared" si="12"/>
        <v>95.45</v>
      </c>
      <c r="E49" s="296">
        <f t="shared" si="12"/>
        <v>-20.163250000000009</v>
      </c>
      <c r="F49" s="336">
        <f t="shared" si="12"/>
        <v>-6.8755000000000006</v>
      </c>
      <c r="G49" s="345">
        <f t="shared" si="12"/>
        <v>-13.28775000000001</v>
      </c>
      <c r="H49" s="336">
        <f t="shared" si="12"/>
        <v>108.73775000000001</v>
      </c>
      <c r="I49" s="344">
        <f>AVERAGE(I18:I21)</f>
        <v>5.6812072447290696E-2</v>
      </c>
      <c r="J49" s="167">
        <f t="shared" si="12"/>
        <v>1931.1499999999999</v>
      </c>
      <c r="K49" s="22"/>
      <c r="L49" s="75"/>
    </row>
    <row r="50" spans="1:12" s="17" customFormat="1" ht="25.5" customHeight="1" x14ac:dyDescent="0.3">
      <c r="A50" s="74" t="s">
        <v>91</v>
      </c>
      <c r="B50" s="296">
        <f t="shared" ref="B50:J50" si="13">AVERAGE(B22:B25)</f>
        <v>-3.2949999999999999</v>
      </c>
      <c r="C50" s="336">
        <f t="shared" si="13"/>
        <v>-43.176250000000003</v>
      </c>
      <c r="D50" s="336">
        <f t="shared" si="13"/>
        <v>39.881250000000009</v>
      </c>
      <c r="E50" s="296">
        <f t="shared" si="13"/>
        <v>-54.161750000000005</v>
      </c>
      <c r="F50" s="336">
        <f t="shared" si="13"/>
        <v>3.25</v>
      </c>
      <c r="G50" s="345">
        <f t="shared" si="13"/>
        <v>-57.407750000000007</v>
      </c>
      <c r="H50" s="336">
        <f>AVERAGE(H22:H25)</f>
        <v>97.288999999999987</v>
      </c>
      <c r="I50" s="344">
        <f>AVERAGE(I22:I25)</f>
        <v>5.0942450544589346E-2</v>
      </c>
      <c r="J50" s="167">
        <f t="shared" si="13"/>
        <v>1911.3255964999998</v>
      </c>
      <c r="K50" s="22"/>
      <c r="L50" s="75"/>
    </row>
    <row r="51" spans="1:12" s="17" customFormat="1" ht="25.5" customHeight="1" x14ac:dyDescent="0.3">
      <c r="A51" s="117" t="s">
        <v>92</v>
      </c>
      <c r="B51" s="302">
        <f t="shared" ref="B51:H51" si="14">AVERAGE(B26:B29)</f>
        <v>66.754148999999998</v>
      </c>
      <c r="C51" s="346">
        <f t="shared" si="14"/>
        <v>-27.6128605</v>
      </c>
      <c r="D51" s="346">
        <f t="shared" si="14"/>
        <v>94.367009499999995</v>
      </c>
      <c r="E51" s="302">
        <f t="shared" si="14"/>
        <v>-27.414750000000002</v>
      </c>
      <c r="F51" s="346">
        <f>AVERAGE(F26:F29)</f>
        <v>11.257249999999999</v>
      </c>
      <c r="G51" s="347">
        <f t="shared" si="14"/>
        <v>-38.659999999999997</v>
      </c>
      <c r="H51" s="346">
        <f t="shared" si="14"/>
        <v>133.02700950000002</v>
      </c>
      <c r="I51" s="348">
        <f>AVERAGE(I26:I29)</f>
        <v>6.6226225882892384E-2</v>
      </c>
      <c r="J51" s="178">
        <f>AVERAGE(J26:J29)</f>
        <v>2008.4492229999996</v>
      </c>
      <c r="K51" s="118"/>
      <c r="L51" s="119"/>
    </row>
    <row r="52" spans="1:12" s="17" customFormat="1" ht="25.5" customHeight="1" x14ac:dyDescent="0.3">
      <c r="A52" s="117" t="s">
        <v>221</v>
      </c>
      <c r="B52" s="302">
        <f>AVERAGE(B30:B33)</f>
        <v>147.48725971000022</v>
      </c>
      <c r="C52" s="346">
        <f t="shared" ref="C52:I52" si="15">AVERAGE(C30:C33)</f>
        <v>7.4601798700000002</v>
      </c>
      <c r="D52" s="346">
        <f t="shared" si="15"/>
        <v>140.0270798400002</v>
      </c>
      <c r="E52" s="302">
        <f t="shared" si="15"/>
        <v>-25.323999999999998</v>
      </c>
      <c r="F52" s="346">
        <f t="shared" si="15"/>
        <v>26.701250000000002</v>
      </c>
      <c r="G52" s="347">
        <f t="shared" si="15"/>
        <v>-52.02525</v>
      </c>
      <c r="H52" s="346">
        <f t="shared" si="15"/>
        <v>192.0523298400002</v>
      </c>
      <c r="I52" s="348">
        <f t="shared" si="15"/>
        <v>8.7718066531015215E-2</v>
      </c>
      <c r="J52" s="347">
        <f>AVERAGE(J30:J33)</f>
        <v>2213.5545107225003</v>
      </c>
      <c r="K52" s="118"/>
      <c r="L52" s="119"/>
    </row>
    <row r="53" spans="1:12" s="17" customFormat="1" ht="25.5" customHeight="1" x14ac:dyDescent="0.3">
      <c r="A53" s="76" t="s">
        <v>367</v>
      </c>
      <c r="B53" s="323">
        <f>AVERAGE(B34:B34)</f>
        <v>-218.53720759000001</v>
      </c>
      <c r="C53" s="339">
        <f t="shared" ref="C53:J53" si="16">AVERAGE(C34:C34)</f>
        <v>-10.384288509999999</v>
      </c>
      <c r="D53" s="339">
        <f t="shared" si="16"/>
        <v>-208.15291908</v>
      </c>
      <c r="E53" s="323">
        <f t="shared" si="16"/>
        <v>-87.233000000000004</v>
      </c>
      <c r="F53" s="339">
        <f t="shared" si="16"/>
        <v>31.08</v>
      </c>
      <c r="G53" s="519">
        <f t="shared" si="16"/>
        <v>-118.313</v>
      </c>
      <c r="H53" s="339">
        <f t="shared" si="16"/>
        <v>-89.839919080000001</v>
      </c>
      <c r="I53" s="348">
        <f t="shared" si="16"/>
        <v>-3.6736214172098026E-2</v>
      </c>
      <c r="J53" s="519">
        <f t="shared" si="16"/>
        <v>2445.5410309600006</v>
      </c>
      <c r="K53" s="77"/>
      <c r="L53" s="78"/>
    </row>
  </sheetData>
  <mergeCells count="5">
    <mergeCell ref="A2:K2"/>
    <mergeCell ref="B4:D4"/>
    <mergeCell ref="E4:G4"/>
    <mergeCell ref="H4:I4"/>
    <mergeCell ref="A47:K47"/>
  </mergeCells>
  <pageMargins left="0.19685039370078741" right="0.19685039370078741" top="0.39370078740157483" bottom="0.59055118110236227" header="0.31496062992125984" footer="0.31496062992125984"/>
  <pageSetup paperSize="8" scale="64" orientation="landscape" r:id="rId1"/>
  <headerFooter>
    <oddFooter>&amp;L&amp;"Arial Narrow,Standard"DFG, 9. April 2024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52"/>
  <sheetViews>
    <sheetView view="pageLayout" zoomScaleNormal="100" zoomScaleSheetLayoutView="120" workbookViewId="0">
      <selection activeCell="I72" sqref="I72"/>
    </sheetView>
    <sheetView zoomScale="133" zoomScaleNormal="115" workbookViewId="1">
      <pane ySplit="5" topLeftCell="A15" activePane="bottomLeft" state="frozen"/>
      <selection pane="bottomLeft" activeCell="K38" sqref="K38"/>
    </sheetView>
  </sheetViews>
  <sheetFormatPr baseColWidth="10" defaultColWidth="11.453125" defaultRowHeight="13" x14ac:dyDescent="0.3"/>
  <cols>
    <col min="1" max="1" width="7.36328125" style="2" customWidth="1"/>
    <col min="2" max="2" width="7.90625" style="2" customWidth="1"/>
    <col min="3" max="3" width="7.6328125" style="2" customWidth="1"/>
    <col min="4" max="4" width="8.36328125" style="2" customWidth="1"/>
    <col min="5" max="5" width="6.90625" style="2" customWidth="1"/>
    <col min="6" max="6" width="7.6328125" style="2" customWidth="1"/>
    <col min="7" max="7" width="8.453125" style="2" customWidth="1"/>
    <col min="8" max="8" width="8.36328125" style="2" customWidth="1"/>
    <col min="9" max="9" width="7.453125" style="2" customWidth="1"/>
    <col min="10" max="10" width="7.90625" style="2" customWidth="1"/>
    <col min="11" max="11" width="162" style="27" customWidth="1"/>
    <col min="12" max="13" width="9.54296875" style="2" customWidth="1"/>
    <col min="14" max="16384" width="11.453125" style="2"/>
  </cols>
  <sheetData>
    <row r="1" spans="1:12" ht="15.5" x14ac:dyDescent="0.35">
      <c r="A1" s="1" t="s">
        <v>27</v>
      </c>
    </row>
    <row r="2" spans="1:12" ht="12.75" customHeight="1" x14ac:dyDescent="0.3">
      <c r="A2" s="2" t="s">
        <v>225</v>
      </c>
    </row>
    <row r="3" spans="1:12" ht="12.75" customHeight="1" x14ac:dyDescent="0.3"/>
    <row r="4" spans="1:12" s="26" customFormat="1" ht="13.5" customHeight="1" x14ac:dyDescent="0.3">
      <c r="A4" s="79"/>
      <c r="B4" s="611" t="s">
        <v>30</v>
      </c>
      <c r="C4" s="612"/>
      <c r="D4" s="613"/>
      <c r="E4" s="611" t="s">
        <v>70</v>
      </c>
      <c r="F4" s="606"/>
      <c r="G4" s="606"/>
      <c r="H4" s="607"/>
      <c r="I4" s="611" t="s">
        <v>28</v>
      </c>
      <c r="J4" s="607"/>
      <c r="K4" s="80"/>
    </row>
    <row r="5" spans="1:12" s="5" customFormat="1" ht="39" customHeight="1" x14ac:dyDescent="0.3">
      <c r="A5" s="349" t="s">
        <v>4</v>
      </c>
      <c r="B5" s="41" t="s">
        <v>226</v>
      </c>
      <c r="C5" s="42" t="s">
        <v>227</v>
      </c>
      <c r="D5" s="43" t="s">
        <v>228</v>
      </c>
      <c r="E5" s="41" t="s">
        <v>229</v>
      </c>
      <c r="F5" s="42" t="s">
        <v>227</v>
      </c>
      <c r="G5" s="133" t="s">
        <v>253</v>
      </c>
      <c r="H5" s="43" t="s">
        <v>230</v>
      </c>
      <c r="I5" s="41" t="s">
        <v>231</v>
      </c>
      <c r="J5" s="43" t="s">
        <v>232</v>
      </c>
      <c r="K5" s="81" t="s">
        <v>73</v>
      </c>
      <c r="L5" s="44"/>
    </row>
    <row r="6" spans="1:12" s="3" customFormat="1" ht="13.5" customHeight="1" x14ac:dyDescent="0.25">
      <c r="A6" s="219">
        <v>1997</v>
      </c>
      <c r="B6" s="223">
        <v>183.2</v>
      </c>
      <c r="C6" s="224">
        <v>22.3</v>
      </c>
      <c r="D6" s="225">
        <f t="shared" ref="D6:D28" si="0">B6-C6</f>
        <v>160.89999999999998</v>
      </c>
      <c r="E6" s="223">
        <v>191.142</v>
      </c>
      <c r="F6" s="224">
        <v>-4.0910000000000002</v>
      </c>
      <c r="G6" s="355">
        <v>205</v>
      </c>
      <c r="H6" s="356">
        <f t="shared" ref="H6:H28" si="1">E6-F6</f>
        <v>195.233</v>
      </c>
      <c r="I6" s="223">
        <f t="shared" ref="I6:I28" si="2">D6-H6</f>
        <v>-34.333000000000027</v>
      </c>
      <c r="J6" s="357">
        <f t="shared" ref="J6:J28" si="3">I6/D6</f>
        <v>-0.21338098197638306</v>
      </c>
      <c r="K6" s="82" t="s">
        <v>100</v>
      </c>
      <c r="L6" s="45"/>
    </row>
    <row r="7" spans="1:12" s="3" customFormat="1" ht="13.5" customHeight="1" x14ac:dyDescent="0.25">
      <c r="A7" s="220">
        <v>1998</v>
      </c>
      <c r="B7" s="229">
        <v>187.7</v>
      </c>
      <c r="C7" s="230">
        <v>20.7</v>
      </c>
      <c r="D7" s="231">
        <f t="shared" si="0"/>
        <v>167</v>
      </c>
      <c r="E7" s="229">
        <v>198.65600000000001</v>
      </c>
      <c r="F7" s="230">
        <v>5.9</v>
      </c>
      <c r="G7" s="358">
        <v>205</v>
      </c>
      <c r="H7" s="359">
        <f t="shared" si="1"/>
        <v>192.756</v>
      </c>
      <c r="I7" s="229">
        <f t="shared" si="2"/>
        <v>-25.756</v>
      </c>
      <c r="J7" s="284">
        <f t="shared" si="3"/>
        <v>-0.15422754491017965</v>
      </c>
      <c r="K7" s="83" t="s">
        <v>101</v>
      </c>
      <c r="L7" s="45"/>
    </row>
    <row r="8" spans="1:12" s="3" customFormat="1" ht="13.5" customHeight="1" x14ac:dyDescent="0.25">
      <c r="A8" s="220">
        <v>1999</v>
      </c>
      <c r="B8" s="229">
        <v>158.55351400000001</v>
      </c>
      <c r="C8" s="230">
        <f>1.236-9.589</f>
        <v>-8.3529999999999998</v>
      </c>
      <c r="D8" s="231">
        <f t="shared" si="0"/>
        <v>166.90651400000002</v>
      </c>
      <c r="E8" s="229">
        <v>171.4</v>
      </c>
      <c r="F8" s="230">
        <v>0</v>
      </c>
      <c r="G8" s="358">
        <v>205</v>
      </c>
      <c r="H8" s="359">
        <f t="shared" si="1"/>
        <v>171.4</v>
      </c>
      <c r="I8" s="229">
        <f t="shared" si="2"/>
        <v>-4.4934859999999901</v>
      </c>
      <c r="J8" s="284">
        <f t="shared" si="3"/>
        <v>-2.6922172731976116E-2</v>
      </c>
      <c r="K8" s="83" t="s">
        <v>102</v>
      </c>
      <c r="L8" s="45"/>
    </row>
    <row r="9" spans="1:12" s="28" customFormat="1" ht="13.5" customHeight="1" x14ac:dyDescent="0.25">
      <c r="A9" s="350">
        <v>2000</v>
      </c>
      <c r="B9" s="360">
        <v>138.1</v>
      </c>
      <c r="C9" s="361">
        <v>-12.4</v>
      </c>
      <c r="D9" s="362">
        <f t="shared" si="0"/>
        <v>150.5</v>
      </c>
      <c r="E9" s="360">
        <v>157.4</v>
      </c>
      <c r="F9" s="361">
        <v>-2.4</v>
      </c>
      <c r="G9" s="363">
        <v>205</v>
      </c>
      <c r="H9" s="364">
        <f t="shared" si="1"/>
        <v>159.80000000000001</v>
      </c>
      <c r="I9" s="360">
        <f t="shared" si="2"/>
        <v>-9.3000000000000114</v>
      </c>
      <c r="J9" s="365">
        <f t="shared" si="3"/>
        <v>-6.1794019933554892E-2</v>
      </c>
      <c r="K9" s="84" t="s">
        <v>103</v>
      </c>
      <c r="L9" s="46"/>
    </row>
    <row r="10" spans="1:12" s="28" customFormat="1" ht="13.5" customHeight="1" x14ac:dyDescent="0.25">
      <c r="A10" s="351">
        <v>2001</v>
      </c>
      <c r="B10" s="366">
        <v>124.6</v>
      </c>
      <c r="C10" s="367">
        <v>-20.5</v>
      </c>
      <c r="D10" s="368">
        <f t="shared" si="0"/>
        <v>145.1</v>
      </c>
      <c r="E10" s="366">
        <v>140.6</v>
      </c>
      <c r="F10" s="367">
        <v>-13.1</v>
      </c>
      <c r="G10" s="369">
        <v>170</v>
      </c>
      <c r="H10" s="370">
        <f t="shared" si="1"/>
        <v>153.69999999999999</v>
      </c>
      <c r="I10" s="366">
        <f t="shared" si="2"/>
        <v>-8.5999999999999943</v>
      </c>
      <c r="J10" s="371">
        <f t="shared" si="3"/>
        <v>-5.9269469331495482E-2</v>
      </c>
      <c r="K10" s="85" t="s">
        <v>61</v>
      </c>
      <c r="L10" s="46"/>
    </row>
    <row r="11" spans="1:12" s="28" customFormat="1" ht="13.5" customHeight="1" x14ac:dyDescent="0.25">
      <c r="A11" s="352">
        <v>2002</v>
      </c>
      <c r="B11" s="372">
        <v>147.5</v>
      </c>
      <c r="C11" s="373">
        <v>-6.3000000000000096</v>
      </c>
      <c r="D11" s="374">
        <f t="shared" si="0"/>
        <v>153.80000000000001</v>
      </c>
      <c r="E11" s="372">
        <v>158</v>
      </c>
      <c r="F11" s="373">
        <v>-5.5</v>
      </c>
      <c r="G11" s="375">
        <v>170</v>
      </c>
      <c r="H11" s="376">
        <f t="shared" si="1"/>
        <v>163.5</v>
      </c>
      <c r="I11" s="372">
        <f t="shared" si="2"/>
        <v>-9.6999999999999886</v>
      </c>
      <c r="J11" s="377">
        <f t="shared" si="3"/>
        <v>-6.3068920676202789E-2</v>
      </c>
      <c r="K11" s="86" t="s">
        <v>62</v>
      </c>
      <c r="L11" s="46"/>
    </row>
    <row r="12" spans="1:12" s="28" customFormat="1" ht="13.5" customHeight="1" x14ac:dyDescent="0.25">
      <c r="A12" s="352">
        <v>2003</v>
      </c>
      <c r="B12" s="372">
        <v>155.488</v>
      </c>
      <c r="C12" s="373">
        <v>6.0999999999999999E-2</v>
      </c>
      <c r="D12" s="374">
        <f t="shared" si="0"/>
        <v>155.42699999999999</v>
      </c>
      <c r="E12" s="372">
        <v>166</v>
      </c>
      <c r="F12" s="373">
        <v>6</v>
      </c>
      <c r="G12" s="375">
        <v>170</v>
      </c>
      <c r="H12" s="376">
        <f t="shared" si="1"/>
        <v>160</v>
      </c>
      <c r="I12" s="372">
        <f t="shared" si="2"/>
        <v>-4.5730000000000075</v>
      </c>
      <c r="J12" s="377">
        <f t="shared" si="3"/>
        <v>-2.9422172466817269E-2</v>
      </c>
      <c r="K12" s="86" t="s">
        <v>58</v>
      </c>
      <c r="L12" s="46"/>
    </row>
    <row r="13" spans="1:12" s="28" customFormat="1" ht="13.5" customHeight="1" x14ac:dyDescent="0.25">
      <c r="A13" s="353">
        <v>2004</v>
      </c>
      <c r="B13" s="378">
        <v>148.03899999999999</v>
      </c>
      <c r="C13" s="379">
        <v>6.6000000000000003E-2</v>
      </c>
      <c r="D13" s="380">
        <f t="shared" si="0"/>
        <v>147.97299999999998</v>
      </c>
      <c r="E13" s="378">
        <v>155.9</v>
      </c>
      <c r="F13" s="379">
        <v>4</v>
      </c>
      <c r="G13" s="381">
        <v>170</v>
      </c>
      <c r="H13" s="382">
        <f t="shared" si="1"/>
        <v>151.9</v>
      </c>
      <c r="I13" s="378">
        <f t="shared" si="2"/>
        <v>-3.9270000000000209</v>
      </c>
      <c r="J13" s="383">
        <f t="shared" si="3"/>
        <v>-2.653862528974895E-2</v>
      </c>
      <c r="K13" s="87" t="s">
        <v>59</v>
      </c>
      <c r="L13" s="46"/>
    </row>
    <row r="14" spans="1:12" s="28" customFormat="1" ht="13.5" customHeight="1" x14ac:dyDescent="0.25">
      <c r="A14" s="354">
        <v>2005</v>
      </c>
      <c r="B14" s="384">
        <v>529.5</v>
      </c>
      <c r="C14" s="385">
        <f>381.3+1.1</f>
        <v>382.40000000000003</v>
      </c>
      <c r="D14" s="386">
        <f t="shared" si="0"/>
        <v>147.09999999999997</v>
      </c>
      <c r="E14" s="384">
        <v>559.1</v>
      </c>
      <c r="F14" s="385">
        <f>400+1</f>
        <v>401</v>
      </c>
      <c r="G14" s="387">
        <v>170</v>
      </c>
      <c r="H14" s="388">
        <f t="shared" si="1"/>
        <v>158.10000000000002</v>
      </c>
      <c r="I14" s="384">
        <f t="shared" si="2"/>
        <v>-11.000000000000057</v>
      </c>
      <c r="J14" s="389">
        <f t="shared" si="3"/>
        <v>-7.4779061862678853E-2</v>
      </c>
      <c r="K14" s="88" t="s">
        <v>63</v>
      </c>
      <c r="L14" s="46"/>
    </row>
    <row r="15" spans="1:12" s="3" customFormat="1" ht="25.5" customHeight="1" x14ac:dyDescent="0.25">
      <c r="A15" s="220">
        <v>2006</v>
      </c>
      <c r="B15" s="229">
        <v>127</v>
      </c>
      <c r="C15" s="230">
        <f>-40+0.2</f>
        <v>-39.799999999999997</v>
      </c>
      <c r="D15" s="231">
        <f t="shared" si="0"/>
        <v>166.8</v>
      </c>
      <c r="E15" s="229">
        <v>172.2</v>
      </c>
      <c r="F15" s="230">
        <v>0.5</v>
      </c>
      <c r="G15" s="375">
        <v>170</v>
      </c>
      <c r="H15" s="390">
        <f t="shared" si="1"/>
        <v>171.7</v>
      </c>
      <c r="I15" s="229">
        <f t="shared" si="2"/>
        <v>-4.8999999999999773</v>
      </c>
      <c r="J15" s="284">
        <f t="shared" si="3"/>
        <v>-2.9376498800959095E-2</v>
      </c>
      <c r="K15" s="83" t="s">
        <v>254</v>
      </c>
      <c r="L15" s="45"/>
    </row>
    <row r="16" spans="1:12" s="28" customFormat="1" ht="25.5" customHeight="1" x14ac:dyDescent="0.25">
      <c r="A16" s="352">
        <v>2007</v>
      </c>
      <c r="B16" s="372">
        <v>184.99199999999999</v>
      </c>
      <c r="C16" s="373">
        <f>22.008+0.7</f>
        <v>22.707999999999998</v>
      </c>
      <c r="D16" s="374">
        <f t="shared" si="0"/>
        <v>162.28399999999999</v>
      </c>
      <c r="E16" s="372">
        <v>202.3</v>
      </c>
      <c r="F16" s="373">
        <f>22+3</f>
        <v>25</v>
      </c>
      <c r="G16" s="375">
        <v>170</v>
      </c>
      <c r="H16" s="390">
        <f t="shared" si="1"/>
        <v>177.3</v>
      </c>
      <c r="I16" s="372">
        <f t="shared" si="2"/>
        <v>-15.01600000000002</v>
      </c>
      <c r="J16" s="377">
        <f t="shared" si="3"/>
        <v>-9.2529146434645562E-2</v>
      </c>
      <c r="K16" s="86" t="s">
        <v>255</v>
      </c>
      <c r="L16" s="46"/>
    </row>
    <row r="17" spans="1:12" s="28" customFormat="1" ht="25.5" customHeight="1" x14ac:dyDescent="0.25">
      <c r="A17" s="350">
        <v>2008</v>
      </c>
      <c r="B17" s="360">
        <v>195.7</v>
      </c>
      <c r="C17" s="361">
        <f>0.3+1.7+6.3</f>
        <v>8.3000000000000007</v>
      </c>
      <c r="D17" s="362">
        <f t="shared" si="0"/>
        <v>187.39999999999998</v>
      </c>
      <c r="E17" s="360">
        <v>204.5</v>
      </c>
      <c r="F17" s="361">
        <f>1+3</f>
        <v>4</v>
      </c>
      <c r="G17" s="363">
        <v>170</v>
      </c>
      <c r="H17" s="391">
        <f t="shared" si="1"/>
        <v>200.5</v>
      </c>
      <c r="I17" s="360">
        <f t="shared" si="2"/>
        <v>-13.100000000000023</v>
      </c>
      <c r="J17" s="365">
        <f t="shared" si="3"/>
        <v>-6.9903948772678887E-2</v>
      </c>
      <c r="K17" s="84" t="s">
        <v>104</v>
      </c>
      <c r="L17" s="46"/>
    </row>
    <row r="18" spans="1:12" s="28" customFormat="1" ht="25.5" customHeight="1" x14ac:dyDescent="0.25">
      <c r="A18" s="351">
        <v>2009</v>
      </c>
      <c r="B18" s="366">
        <v>177</v>
      </c>
      <c r="C18" s="367">
        <f>4.3+1.5-25+8.3</f>
        <v>-10.899999999999999</v>
      </c>
      <c r="D18" s="368">
        <f t="shared" si="0"/>
        <v>187.9</v>
      </c>
      <c r="E18" s="366">
        <v>221.9</v>
      </c>
      <c r="F18" s="367">
        <f>9.5-0.3+8.8</f>
        <v>18</v>
      </c>
      <c r="G18" s="369">
        <v>200</v>
      </c>
      <c r="H18" s="390">
        <f>E18-F18</f>
        <v>203.9</v>
      </c>
      <c r="I18" s="392">
        <f t="shared" si="2"/>
        <v>-16</v>
      </c>
      <c r="J18" s="371">
        <f t="shared" si="3"/>
        <v>-8.5151676423629585E-2</v>
      </c>
      <c r="K18" s="85" t="s">
        <v>256</v>
      </c>
    </row>
    <row r="19" spans="1:12" s="28" customFormat="1" ht="13.5" customHeight="1" x14ac:dyDescent="0.25">
      <c r="A19" s="352">
        <v>2010</v>
      </c>
      <c r="B19" s="372">
        <v>217.3</v>
      </c>
      <c r="C19" s="373">
        <v>11.993</v>
      </c>
      <c r="D19" s="374">
        <f t="shared" si="0"/>
        <v>205.30700000000002</v>
      </c>
      <c r="E19" s="372">
        <v>237.3</v>
      </c>
      <c r="F19" s="373">
        <f>4.6+8.8</f>
        <v>13.4</v>
      </c>
      <c r="G19" s="614" t="s">
        <v>257</v>
      </c>
      <c r="H19" s="376">
        <f t="shared" si="1"/>
        <v>223.9</v>
      </c>
      <c r="I19" s="393">
        <f t="shared" si="2"/>
        <v>-18.592999999999989</v>
      </c>
      <c r="J19" s="394">
        <f t="shared" si="3"/>
        <v>-9.0561938949962673E-2</v>
      </c>
      <c r="K19" s="86" t="s">
        <v>64</v>
      </c>
    </row>
    <row r="20" spans="1:12" s="28" customFormat="1" ht="13.5" customHeight="1" x14ac:dyDescent="0.25">
      <c r="A20" s="352">
        <v>2011</v>
      </c>
      <c r="B20" s="372">
        <v>203.7</v>
      </c>
      <c r="C20" s="373">
        <v>7.7</v>
      </c>
      <c r="D20" s="374">
        <f t="shared" si="0"/>
        <v>196</v>
      </c>
      <c r="E20" s="372">
        <v>223.25299999999999</v>
      </c>
      <c r="F20" s="373">
        <v>12.5</v>
      </c>
      <c r="G20" s="615"/>
      <c r="H20" s="376">
        <f t="shared" si="1"/>
        <v>210.75299999999999</v>
      </c>
      <c r="I20" s="393">
        <f t="shared" si="2"/>
        <v>-14.752999999999986</v>
      </c>
      <c r="J20" s="394">
        <f t="shared" si="3"/>
        <v>-7.5270408163265232E-2</v>
      </c>
      <c r="K20" s="86" t="s">
        <v>105</v>
      </c>
    </row>
    <row r="21" spans="1:12" s="28" customFormat="1" ht="25.5" customHeight="1" x14ac:dyDescent="0.25">
      <c r="A21" s="353">
        <v>2012</v>
      </c>
      <c r="B21" s="378">
        <v>274.39999999999998</v>
      </c>
      <c r="C21" s="379">
        <f>4.246+6.085-1.279+0.715-0.941-0.014+5+86</f>
        <v>99.811999999999998</v>
      </c>
      <c r="D21" s="380">
        <f t="shared" si="0"/>
        <v>174.58799999999997</v>
      </c>
      <c r="E21" s="378">
        <v>217.7</v>
      </c>
      <c r="F21" s="379">
        <f>4.44+9.04-1.369+2.1-0.86-1.1+6.5</f>
        <v>18.751000000000001</v>
      </c>
      <c r="G21" s="381">
        <v>200</v>
      </c>
      <c r="H21" s="382">
        <f t="shared" si="1"/>
        <v>198.94899999999998</v>
      </c>
      <c r="I21" s="395">
        <f t="shared" si="2"/>
        <v>-24.361000000000018</v>
      </c>
      <c r="J21" s="396">
        <f t="shared" si="3"/>
        <v>-0.13953421770110216</v>
      </c>
      <c r="K21" s="87" t="s">
        <v>60</v>
      </c>
    </row>
    <row r="22" spans="1:12" s="3" customFormat="1" ht="13.5" customHeight="1" x14ac:dyDescent="0.25">
      <c r="A22" s="219">
        <v>2013</v>
      </c>
      <c r="B22" s="223">
        <v>160.80000000000001</v>
      </c>
      <c r="C22" s="385">
        <f>0.44+3.35-2.182+0.808-0.861+0.061</f>
        <v>1.6160000000000003</v>
      </c>
      <c r="D22" s="386">
        <f t="shared" si="0"/>
        <v>159.184</v>
      </c>
      <c r="E22" s="223">
        <v>207.7</v>
      </c>
      <c r="F22" s="385">
        <v>16.7</v>
      </c>
      <c r="G22" s="387">
        <v>200</v>
      </c>
      <c r="H22" s="388">
        <f t="shared" si="1"/>
        <v>191</v>
      </c>
      <c r="I22" s="397">
        <f t="shared" si="2"/>
        <v>-31.816000000000003</v>
      </c>
      <c r="J22" s="398">
        <f t="shared" si="3"/>
        <v>-0.19986933360136699</v>
      </c>
      <c r="K22" s="88" t="s">
        <v>106</v>
      </c>
    </row>
    <row r="23" spans="1:12" s="28" customFormat="1" ht="25.5" customHeight="1" x14ac:dyDescent="0.25">
      <c r="A23" s="352">
        <v>2014</v>
      </c>
      <c r="B23" s="372">
        <v>128</v>
      </c>
      <c r="C23" s="373">
        <f>0.438+3.517-2.225+0.518-0.866+0.499+3.501</f>
        <v>5.3819999999999997</v>
      </c>
      <c r="D23" s="374">
        <f t="shared" si="0"/>
        <v>122.61799999999999</v>
      </c>
      <c r="E23" s="372">
        <v>191.5</v>
      </c>
      <c r="F23" s="373">
        <v>12.7</v>
      </c>
      <c r="G23" s="375">
        <v>200</v>
      </c>
      <c r="H23" s="376">
        <f t="shared" si="1"/>
        <v>178.8</v>
      </c>
      <c r="I23" s="393">
        <f t="shared" si="2"/>
        <v>-56.182000000000016</v>
      </c>
      <c r="J23" s="394">
        <f t="shared" si="3"/>
        <v>-0.45818721558009445</v>
      </c>
      <c r="K23" s="86" t="s">
        <v>107</v>
      </c>
      <c r="L23" s="46"/>
    </row>
    <row r="24" spans="1:12" s="28" customFormat="1" ht="25.5" customHeight="1" x14ac:dyDescent="0.25">
      <c r="A24" s="352">
        <v>2015</v>
      </c>
      <c r="B24" s="372">
        <v>163.30000000000001</v>
      </c>
      <c r="C24" s="373">
        <f>0.002+2.845-2.115+0.463-0.88+8.409+3.053</f>
        <v>11.777000000000001</v>
      </c>
      <c r="D24" s="374">
        <f t="shared" si="0"/>
        <v>151.52300000000002</v>
      </c>
      <c r="E24" s="372">
        <v>207.7</v>
      </c>
      <c r="F24" s="373">
        <v>22.7</v>
      </c>
      <c r="G24" s="375">
        <v>200</v>
      </c>
      <c r="H24" s="376">
        <f t="shared" si="1"/>
        <v>185</v>
      </c>
      <c r="I24" s="393">
        <f t="shared" si="2"/>
        <v>-33.476999999999975</v>
      </c>
      <c r="J24" s="394">
        <f t="shared" si="3"/>
        <v>-0.22093675547606614</v>
      </c>
      <c r="K24" s="86" t="s">
        <v>65</v>
      </c>
      <c r="L24" s="46"/>
    </row>
    <row r="25" spans="1:12" s="28" customFormat="1" ht="25.5" customHeight="1" x14ac:dyDescent="0.25">
      <c r="A25" s="350">
        <v>2016</v>
      </c>
      <c r="B25" s="360">
        <v>207.2</v>
      </c>
      <c r="C25" s="361">
        <f>0.4+4.7+0.27+1.6+4.5+0.8</f>
        <v>12.270000000000001</v>
      </c>
      <c r="D25" s="362">
        <f t="shared" si="0"/>
        <v>194.92999999999998</v>
      </c>
      <c r="E25" s="360">
        <v>247.2</v>
      </c>
      <c r="F25" s="361">
        <v>51</v>
      </c>
      <c r="G25" s="363">
        <v>200</v>
      </c>
      <c r="H25" s="364">
        <f t="shared" si="1"/>
        <v>196.2</v>
      </c>
      <c r="I25" s="360">
        <f t="shared" si="2"/>
        <v>-1.2700000000000102</v>
      </c>
      <c r="J25" s="399">
        <f t="shared" si="3"/>
        <v>-6.5151592879495734E-3</v>
      </c>
      <c r="K25" s="84" t="s">
        <v>66</v>
      </c>
      <c r="L25" s="46"/>
    </row>
    <row r="26" spans="1:12" s="28" customFormat="1" ht="25.5" customHeight="1" x14ac:dyDescent="0.25">
      <c r="A26" s="351">
        <v>2017</v>
      </c>
      <c r="B26" s="366">
        <v>221.4</v>
      </c>
      <c r="C26" s="367">
        <v>95</v>
      </c>
      <c r="D26" s="368">
        <f t="shared" si="0"/>
        <v>126.4</v>
      </c>
      <c r="E26" s="366">
        <v>273.7</v>
      </c>
      <c r="F26" s="367">
        <v>117.1</v>
      </c>
      <c r="G26" s="369">
        <v>160</v>
      </c>
      <c r="H26" s="370">
        <f t="shared" si="1"/>
        <v>156.6</v>
      </c>
      <c r="I26" s="366">
        <f t="shared" si="2"/>
        <v>-30.199999999999989</v>
      </c>
      <c r="J26" s="400">
        <f t="shared" si="3"/>
        <v>-0.23892405063291128</v>
      </c>
      <c r="K26" s="85" t="s">
        <v>109</v>
      </c>
      <c r="L26" s="46"/>
    </row>
    <row r="27" spans="1:12" s="28" customFormat="1" ht="25.5" customHeight="1" x14ac:dyDescent="0.25">
      <c r="A27" s="352">
        <v>2018</v>
      </c>
      <c r="B27" s="372">
        <v>239.7</v>
      </c>
      <c r="C27" s="373">
        <v>105.1</v>
      </c>
      <c r="D27" s="374">
        <f t="shared" si="0"/>
        <v>134.6</v>
      </c>
      <c r="E27" s="372">
        <v>292.923</v>
      </c>
      <c r="F27" s="373">
        <v>137.9</v>
      </c>
      <c r="G27" s="375">
        <v>160</v>
      </c>
      <c r="H27" s="376">
        <f>E27-F27</f>
        <v>155.023</v>
      </c>
      <c r="I27" s="372">
        <f t="shared" si="2"/>
        <v>-20.423000000000002</v>
      </c>
      <c r="J27" s="377">
        <f>I27/D27</f>
        <v>-0.15173105497771175</v>
      </c>
      <c r="K27" s="86" t="s">
        <v>110</v>
      </c>
      <c r="L27" s="46"/>
    </row>
    <row r="28" spans="1:12" s="28" customFormat="1" ht="36" customHeight="1" x14ac:dyDescent="0.25">
      <c r="A28" s="352">
        <v>2019</v>
      </c>
      <c r="B28" s="372">
        <v>227.1</v>
      </c>
      <c r="C28" s="373">
        <v>106.5</v>
      </c>
      <c r="D28" s="374">
        <f t="shared" si="0"/>
        <v>120.6</v>
      </c>
      <c r="E28" s="372">
        <v>302.39999999999998</v>
      </c>
      <c r="F28" s="373">
        <v>143.19999999999999</v>
      </c>
      <c r="G28" s="375">
        <v>160</v>
      </c>
      <c r="H28" s="376">
        <f t="shared" si="1"/>
        <v>159.19999999999999</v>
      </c>
      <c r="I28" s="372">
        <f t="shared" si="2"/>
        <v>-38.599999999999994</v>
      </c>
      <c r="J28" s="377">
        <f t="shared" si="3"/>
        <v>-0.32006633499170811</v>
      </c>
      <c r="K28" s="86" t="s">
        <v>111</v>
      </c>
      <c r="L28" s="46"/>
    </row>
    <row r="29" spans="1:12" s="28" customFormat="1" ht="36" customHeight="1" x14ac:dyDescent="0.25">
      <c r="A29" s="350">
        <v>2020</v>
      </c>
      <c r="B29" s="360">
        <v>200.48964899999999</v>
      </c>
      <c r="C29" s="361">
        <v>77.400000000000006</v>
      </c>
      <c r="D29" s="362">
        <f t="shared" ref="D29" si="4">B29-C29</f>
        <v>123.08964899999998</v>
      </c>
      <c r="E29" s="360">
        <v>290.05</v>
      </c>
      <c r="F29" s="361">
        <v>124.08199999999999</v>
      </c>
      <c r="G29" s="363">
        <v>160</v>
      </c>
      <c r="H29" s="391">
        <f t="shared" ref="H29" si="5">E29-F29</f>
        <v>165.96800000000002</v>
      </c>
      <c r="I29" s="360">
        <f>D29-H29</f>
        <v>-42.878351000000038</v>
      </c>
      <c r="J29" s="365">
        <f t="shared" ref="J29" si="6">I29/D29</f>
        <v>-0.34835058307786743</v>
      </c>
      <c r="K29" s="84" t="s">
        <v>108</v>
      </c>
      <c r="L29" s="46"/>
    </row>
    <row r="30" spans="1:12" s="28" customFormat="1" x14ac:dyDescent="0.25">
      <c r="A30" s="351">
        <v>2021</v>
      </c>
      <c r="B30" s="366">
        <f>Schlüsselgrössen!G29</f>
        <v>189.397231</v>
      </c>
      <c r="C30" s="367">
        <f>B30-D30</f>
        <v>51.397087999999997</v>
      </c>
      <c r="D30" s="368">
        <f>Schlüsselgrössen!H29</f>
        <v>138.00014300000001</v>
      </c>
      <c r="E30" s="366">
        <v>271.63299999999998</v>
      </c>
      <c r="F30" s="367">
        <v>101.66500000000001</v>
      </c>
      <c r="G30" s="369">
        <v>170</v>
      </c>
      <c r="H30" s="370">
        <f>E30-F30</f>
        <v>169.96799999999996</v>
      </c>
      <c r="I30" s="366">
        <f>D30-H30</f>
        <v>-31.967856999999952</v>
      </c>
      <c r="J30" s="371">
        <f>I30/D30</f>
        <v>-0.23165089763711297</v>
      </c>
      <c r="K30" s="419" t="s">
        <v>263</v>
      </c>
      <c r="L30" s="46"/>
    </row>
    <row r="31" spans="1:12" s="28" customFormat="1" x14ac:dyDescent="0.25">
      <c r="A31" s="420">
        <v>2022</v>
      </c>
      <c r="B31" s="366">
        <f>Schlüsselgrössen!G30</f>
        <v>196.36730925999998</v>
      </c>
      <c r="C31" s="422">
        <f>B31-D31</f>
        <v>62.954195259999977</v>
      </c>
      <c r="D31" s="368">
        <f>Schlüsselgrössen!H30</f>
        <v>133.41311400000001</v>
      </c>
      <c r="E31" s="421">
        <v>280.71300000000002</v>
      </c>
      <c r="F31" s="422">
        <v>112.74100000000001</v>
      </c>
      <c r="G31" s="424">
        <v>170</v>
      </c>
      <c r="H31" s="370">
        <f t="shared" ref="H31:H33" si="7">E31-F31</f>
        <v>167.97200000000001</v>
      </c>
      <c r="I31" s="421">
        <f>D31-H31</f>
        <v>-34.558886000000001</v>
      </c>
      <c r="J31" s="426">
        <f>I31/D31</f>
        <v>-0.25903664912581231</v>
      </c>
      <c r="K31" s="427" t="s">
        <v>303</v>
      </c>
      <c r="L31" s="46"/>
    </row>
    <row r="32" spans="1:12" s="28" customFormat="1" x14ac:dyDescent="0.25">
      <c r="A32" s="353">
        <v>2023</v>
      </c>
      <c r="B32" s="366">
        <f>Schlüsselgrössen!G31</f>
        <v>242.46214422</v>
      </c>
      <c r="C32" s="379">
        <v>93.462441219999988</v>
      </c>
      <c r="D32" s="368">
        <f>Schlüsselgrössen!H31</f>
        <v>148.99970300000001</v>
      </c>
      <c r="E32" s="378">
        <v>301.072</v>
      </c>
      <c r="F32" s="379">
        <v>131.23699999999999</v>
      </c>
      <c r="G32" s="381">
        <v>170</v>
      </c>
      <c r="H32" s="370">
        <f t="shared" si="7"/>
        <v>169.83500000000001</v>
      </c>
      <c r="I32" s="421">
        <f t="shared" ref="I32:I33" si="8">D32-H32</f>
        <v>-20.835296999999997</v>
      </c>
      <c r="J32" s="426">
        <f t="shared" ref="J32" si="9">I32/D32</f>
        <v>-0.13983448678417831</v>
      </c>
      <c r="K32" s="507" t="s">
        <v>314</v>
      </c>
      <c r="L32" s="46"/>
    </row>
    <row r="33" spans="1:13" s="28" customFormat="1" x14ac:dyDescent="0.25">
      <c r="A33" s="350">
        <v>2024</v>
      </c>
      <c r="B33" s="421">
        <f>Schlüsselgrössen!G32</f>
        <v>258.89324199999999</v>
      </c>
      <c r="C33" s="361">
        <v>100.94262772</v>
      </c>
      <c r="D33" s="423">
        <f>Schlüsselgrössen!H32</f>
        <v>157.95061430999999</v>
      </c>
      <c r="E33" s="360">
        <v>309.67099999999999</v>
      </c>
      <c r="F33" s="361">
        <v>139.75200000000001</v>
      </c>
      <c r="G33" s="363">
        <v>170</v>
      </c>
      <c r="H33" s="425">
        <f t="shared" si="7"/>
        <v>169.91899999999998</v>
      </c>
      <c r="I33" s="421">
        <f t="shared" si="8"/>
        <v>-11.968385689999991</v>
      </c>
      <c r="J33" s="508">
        <f t="shared" ref="J33" si="10">I33/D33</f>
        <v>-7.5772960695868988E-2</v>
      </c>
      <c r="K33" s="507" t="s">
        <v>320</v>
      </c>
      <c r="L33" s="46"/>
    </row>
    <row r="34" spans="1:13" s="28" customFormat="1" ht="15" x14ac:dyDescent="0.25">
      <c r="A34" s="510" t="s">
        <v>369</v>
      </c>
      <c r="B34" s="509">
        <f>Schlüsselgrössen!G33</f>
        <v>301.01431830999996</v>
      </c>
      <c r="C34" s="254">
        <f>B34-D34</f>
        <v>255.65529795999996</v>
      </c>
      <c r="D34" s="481">
        <f>Schlüsselgrössen!H33</f>
        <v>45.359020350000002</v>
      </c>
      <c r="E34" s="253">
        <v>354.13200000000001</v>
      </c>
      <c r="F34" s="254">
        <v>299.435</v>
      </c>
      <c r="G34" s="429">
        <v>60</v>
      </c>
      <c r="H34" s="448">
        <f>E34-F34</f>
        <v>54.697000000000003</v>
      </c>
      <c r="I34" s="511">
        <f>D34-H34</f>
        <v>-9.3379796500000012</v>
      </c>
      <c r="J34" s="453">
        <f>I34/D34</f>
        <v>-0.20586819507886486</v>
      </c>
      <c r="K34" s="451" t="s">
        <v>371</v>
      </c>
      <c r="L34" s="46"/>
    </row>
    <row r="35" spans="1:13" ht="4.5" customHeight="1" x14ac:dyDescent="0.3"/>
    <row r="36" spans="1:13" ht="15" x14ac:dyDescent="0.3">
      <c r="A36" s="17" t="s">
        <v>69</v>
      </c>
    </row>
    <row r="37" spans="1:13" ht="15" x14ac:dyDescent="0.3">
      <c r="A37" s="17" t="s">
        <v>72</v>
      </c>
    </row>
    <row r="38" spans="1:13" ht="15" x14ac:dyDescent="0.3">
      <c r="A38" s="17" t="s">
        <v>71</v>
      </c>
    </row>
    <row r="39" spans="1:13" ht="15" x14ac:dyDescent="0.3">
      <c r="A39" s="17" t="s">
        <v>370</v>
      </c>
    </row>
    <row r="40" spans="1:13" ht="15" x14ac:dyDescent="0.3">
      <c r="A40" s="639" t="s">
        <v>379</v>
      </c>
      <c r="B40" s="641"/>
      <c r="C40" s="641"/>
      <c r="D40" s="641"/>
      <c r="E40" s="641"/>
      <c r="F40" s="641"/>
      <c r="G40" s="641"/>
      <c r="H40" s="641"/>
      <c r="I40" s="641"/>
      <c r="J40" s="641"/>
      <c r="K40" s="642"/>
    </row>
    <row r="41" spans="1:13" ht="4.5" customHeight="1" x14ac:dyDescent="0.3"/>
    <row r="42" spans="1:13" s="17" customFormat="1" ht="25.5" customHeight="1" x14ac:dyDescent="0.3">
      <c r="A42" s="71" t="s">
        <v>223</v>
      </c>
      <c r="B42" s="320">
        <f>AVERAGE(B6:B12)</f>
        <v>156.44878771428574</v>
      </c>
      <c r="C42" s="316">
        <f t="shared" ref="C42:I42" si="11">AVERAGE(C6:C12)</f>
        <v>-0.64171428571428712</v>
      </c>
      <c r="D42" s="401">
        <f t="shared" si="11"/>
        <v>157.09050199999999</v>
      </c>
      <c r="E42" s="320">
        <f t="shared" si="11"/>
        <v>169.02828571428569</v>
      </c>
      <c r="F42" s="316">
        <f t="shared" si="11"/>
        <v>-1.8844285714285713</v>
      </c>
      <c r="G42" s="401">
        <f t="shared" si="11"/>
        <v>190</v>
      </c>
      <c r="H42" s="401">
        <f t="shared" si="11"/>
        <v>170.91271428571432</v>
      </c>
      <c r="I42" s="320">
        <f t="shared" si="11"/>
        <v>-13.822212285714288</v>
      </c>
      <c r="J42" s="314">
        <f>AVERAGE(J6:J12)</f>
        <v>-8.6869326003801331E-2</v>
      </c>
      <c r="K42" s="120"/>
      <c r="L42" s="20"/>
    </row>
    <row r="43" spans="1:13" s="17" customFormat="1" ht="25.5" customHeight="1" x14ac:dyDescent="0.3">
      <c r="A43" s="74" t="s">
        <v>365</v>
      </c>
      <c r="B43" s="318">
        <f>AVERAGE(B13:B34)</f>
        <v>217.89794971772727</v>
      </c>
      <c r="C43" s="263">
        <f t="shared" ref="C43:J43" si="12">AVERAGE(C13:C34)</f>
        <v>66.442529552727265</v>
      </c>
      <c r="D43" s="337">
        <f t="shared" si="12"/>
        <v>151.45542016636361</v>
      </c>
      <c r="E43" s="318">
        <f t="shared" si="12"/>
        <v>260.20668181818178</v>
      </c>
      <c r="F43" s="263">
        <f t="shared" si="12"/>
        <v>86.698318181818181</v>
      </c>
      <c r="G43" s="337">
        <f t="shared" si="12"/>
        <v>171.5</v>
      </c>
      <c r="H43" s="337">
        <f t="shared" si="12"/>
        <v>173.50836363636361</v>
      </c>
      <c r="I43" s="318">
        <f t="shared" si="12"/>
        <v>-22.052943470000006</v>
      </c>
      <c r="J43" s="299">
        <f t="shared" si="12"/>
        <v>-0.1609267817884629</v>
      </c>
      <c r="K43" s="89"/>
      <c r="L43" s="20"/>
    </row>
    <row r="44" spans="1:13" s="17" customFormat="1" ht="25.5" customHeight="1" x14ac:dyDescent="0.3">
      <c r="A44" s="76" t="s">
        <v>366</v>
      </c>
      <c r="B44" s="340">
        <f>AVERAGE(B6:B34)</f>
        <v>203.065393372069</v>
      </c>
      <c r="C44" s="324">
        <f t="shared" ref="C44:J44" si="13">AVERAGE(C6:C34)</f>
        <v>50.249781040000002</v>
      </c>
      <c r="D44" s="341">
        <f t="shared" si="13"/>
        <v>152.81561233310345</v>
      </c>
      <c r="E44" s="340">
        <f t="shared" si="13"/>
        <v>238.19810344827582</v>
      </c>
      <c r="F44" s="324">
        <f t="shared" si="13"/>
        <v>65.316275862068963</v>
      </c>
      <c r="G44" s="341">
        <f t="shared" si="13"/>
        <v>176.2962962962963</v>
      </c>
      <c r="H44" s="341">
        <f t="shared" si="13"/>
        <v>172.8818275862069</v>
      </c>
      <c r="I44" s="340">
        <f t="shared" si="13"/>
        <v>-20.066215253103451</v>
      </c>
      <c r="J44" s="402">
        <f t="shared" si="13"/>
        <v>-0.14305084418526873</v>
      </c>
      <c r="K44" s="90"/>
      <c r="L44" s="20"/>
    </row>
    <row r="45" spans="1:13" s="125" customFormat="1" ht="4.5" customHeight="1" x14ac:dyDescent="0.3">
      <c r="A45" s="121"/>
      <c r="B45" s="122"/>
      <c r="C45" s="122"/>
      <c r="D45" s="122"/>
      <c r="E45" s="122"/>
      <c r="F45" s="122"/>
      <c r="G45" s="122"/>
      <c r="H45" s="122"/>
      <c r="I45" s="122"/>
      <c r="J45" s="123"/>
      <c r="K45" s="122"/>
      <c r="L45" s="124"/>
      <c r="M45" s="124"/>
    </row>
    <row r="46" spans="1:13" s="16" customFormat="1" x14ac:dyDescent="0.3">
      <c r="A46" s="609" t="s">
        <v>89</v>
      </c>
      <c r="B46" s="616"/>
      <c r="C46" s="616"/>
      <c r="D46" s="616"/>
      <c r="E46" s="616"/>
      <c r="F46" s="616"/>
      <c r="G46" s="616"/>
      <c r="H46" s="616"/>
      <c r="I46" s="616"/>
      <c r="J46" s="616"/>
      <c r="K46" s="616"/>
      <c r="L46" s="616"/>
      <c r="M46" s="25"/>
    </row>
    <row r="47" spans="1:13" s="17" customFormat="1" ht="25.5" customHeight="1" x14ac:dyDescent="0.3">
      <c r="A47" s="71" t="s">
        <v>224</v>
      </c>
      <c r="B47" s="320">
        <f>AVERAGE(B14:B17)</f>
        <v>259.298</v>
      </c>
      <c r="C47" s="316">
        <f t="shared" ref="C47:J47" si="14">AVERAGE(C14:C17)</f>
        <v>93.402000000000001</v>
      </c>
      <c r="D47" s="316">
        <f t="shared" si="14"/>
        <v>165.89599999999999</v>
      </c>
      <c r="E47" s="320">
        <f t="shared" si="14"/>
        <v>284.52499999999998</v>
      </c>
      <c r="F47" s="316">
        <f t="shared" si="14"/>
        <v>107.625</v>
      </c>
      <c r="G47" s="401">
        <f t="shared" si="14"/>
        <v>170</v>
      </c>
      <c r="H47" s="401">
        <f t="shared" si="14"/>
        <v>176.9</v>
      </c>
      <c r="I47" s="316">
        <f t="shared" si="14"/>
        <v>-11.004000000000019</v>
      </c>
      <c r="J47" s="403">
        <f t="shared" si="14"/>
        <v>-6.6647163967740591E-2</v>
      </c>
      <c r="K47" s="126"/>
      <c r="L47" s="38"/>
      <c r="M47" s="38"/>
    </row>
    <row r="48" spans="1:13" s="17" customFormat="1" ht="25.5" customHeight="1" x14ac:dyDescent="0.3">
      <c r="A48" s="74" t="s">
        <v>90</v>
      </c>
      <c r="B48" s="318">
        <f t="shared" ref="B48:J48" si="15">AVERAGE(B18:B21)</f>
        <v>218.1</v>
      </c>
      <c r="C48" s="263">
        <f>AVERAGE(C18:C21)</f>
        <v>27.151250000000001</v>
      </c>
      <c r="D48" s="263">
        <f t="shared" si="15"/>
        <v>190.94874999999999</v>
      </c>
      <c r="E48" s="318">
        <f t="shared" si="15"/>
        <v>225.03825000000001</v>
      </c>
      <c r="F48" s="263">
        <f t="shared" si="15"/>
        <v>15.662749999999999</v>
      </c>
      <c r="G48" s="337">
        <f t="shared" si="15"/>
        <v>200</v>
      </c>
      <c r="H48" s="337">
        <f t="shared" si="15"/>
        <v>209.37549999999999</v>
      </c>
      <c r="I48" s="263">
        <f t="shared" si="15"/>
        <v>-18.426749999999998</v>
      </c>
      <c r="J48" s="338">
        <f t="shared" si="15"/>
        <v>-9.762956030948991E-2</v>
      </c>
      <c r="K48" s="127"/>
      <c r="L48" s="38"/>
      <c r="M48" s="38"/>
    </row>
    <row r="49" spans="1:13" s="17" customFormat="1" ht="25.5" customHeight="1" x14ac:dyDescent="0.3">
      <c r="A49" s="74" t="s">
        <v>91</v>
      </c>
      <c r="B49" s="318">
        <f t="shared" ref="B49:J49" si="16">AVERAGE(B22:B25)</f>
        <v>164.82499999999999</v>
      </c>
      <c r="C49" s="263">
        <f t="shared" si="16"/>
        <v>7.7612500000000004</v>
      </c>
      <c r="D49" s="263">
        <f>AVERAGE(D22:D25)</f>
        <v>157.06375</v>
      </c>
      <c r="E49" s="318">
        <f t="shared" si="16"/>
        <v>213.52499999999998</v>
      </c>
      <c r="F49" s="263">
        <f t="shared" si="16"/>
        <v>25.774999999999999</v>
      </c>
      <c r="G49" s="337">
        <f t="shared" si="16"/>
        <v>200</v>
      </c>
      <c r="H49" s="337">
        <f t="shared" si="16"/>
        <v>187.75</v>
      </c>
      <c r="I49" s="263">
        <f t="shared" si="16"/>
        <v>-30.686250000000001</v>
      </c>
      <c r="J49" s="338">
        <f t="shared" si="16"/>
        <v>-0.22137711598636928</v>
      </c>
      <c r="K49" s="127"/>
      <c r="L49" s="38"/>
      <c r="M49" s="38"/>
    </row>
    <row r="50" spans="1:13" s="17" customFormat="1" ht="25.5" customHeight="1" x14ac:dyDescent="0.3">
      <c r="A50" s="117" t="s">
        <v>92</v>
      </c>
      <c r="B50" s="318">
        <f>AVERAGE(B26:B29)</f>
        <v>222.17241225000001</v>
      </c>
      <c r="C50" s="263">
        <f t="shared" ref="C50:I50" si="17">AVERAGE(C26:C29)</f>
        <v>96</v>
      </c>
      <c r="D50" s="263">
        <f t="shared" si="17"/>
        <v>126.17241225000001</v>
      </c>
      <c r="E50" s="318">
        <f>AVERAGE(E26:E29)</f>
        <v>289.76825000000002</v>
      </c>
      <c r="F50" s="263">
        <f t="shared" si="17"/>
        <v>130.57049999999998</v>
      </c>
      <c r="G50" s="337">
        <f t="shared" si="17"/>
        <v>160</v>
      </c>
      <c r="H50" s="337">
        <f t="shared" si="17"/>
        <v>159.19774999999998</v>
      </c>
      <c r="I50" s="263">
        <f t="shared" si="17"/>
        <v>-33.025337750000006</v>
      </c>
      <c r="J50" s="299">
        <f>AVERAGE(J26:J29)</f>
        <v>-0.26476800592004962</v>
      </c>
      <c r="K50" s="128"/>
      <c r="L50" s="38"/>
      <c r="M50" s="38"/>
    </row>
    <row r="51" spans="1:13" s="17" customFormat="1" ht="25.5" customHeight="1" x14ac:dyDescent="0.3">
      <c r="A51" s="74" t="s">
        <v>221</v>
      </c>
      <c r="B51" s="318">
        <f>AVERAGE(B30:B33)</f>
        <v>221.77998162</v>
      </c>
      <c r="C51" s="263">
        <f>AVERAGE(C30:C33)</f>
        <v>77.189088049999995</v>
      </c>
      <c r="D51" s="263">
        <f t="shared" ref="D51:J51" si="18">AVERAGE(D30:D33)</f>
        <v>144.59089357750003</v>
      </c>
      <c r="E51" s="318">
        <f t="shared" si="18"/>
        <v>290.77224999999999</v>
      </c>
      <c r="F51" s="263">
        <f t="shared" si="18"/>
        <v>121.34875000000001</v>
      </c>
      <c r="G51" s="337">
        <f t="shared" si="18"/>
        <v>170</v>
      </c>
      <c r="H51" s="263">
        <f>AVERAGE(H30:H33)</f>
        <v>169.42349999999999</v>
      </c>
      <c r="I51" s="263">
        <f t="shared" si="18"/>
        <v>-24.832606422499985</v>
      </c>
      <c r="J51" s="299">
        <f t="shared" si="18"/>
        <v>-0.17657374856074315</v>
      </c>
      <c r="K51" s="128"/>
      <c r="L51" s="38"/>
      <c r="M51" s="38"/>
    </row>
    <row r="52" spans="1:13" s="17" customFormat="1" ht="25.5" customHeight="1" x14ac:dyDescent="0.3">
      <c r="A52" s="640" t="s">
        <v>367</v>
      </c>
      <c r="B52" s="517">
        <f>AVERAGE(B34:B34)</f>
        <v>301.01431830999996</v>
      </c>
      <c r="C52" s="512">
        <f t="shared" ref="C52:J52" si="19">AVERAGE(C34:C34)</f>
        <v>255.65529795999996</v>
      </c>
      <c r="D52" s="512">
        <f t="shared" si="19"/>
        <v>45.359020350000002</v>
      </c>
      <c r="E52" s="517">
        <f t="shared" si="19"/>
        <v>354.13200000000001</v>
      </c>
      <c r="F52" s="512">
        <f t="shared" si="19"/>
        <v>299.435</v>
      </c>
      <c r="G52" s="518">
        <f t="shared" si="19"/>
        <v>60</v>
      </c>
      <c r="H52" s="512">
        <f t="shared" si="19"/>
        <v>54.697000000000003</v>
      </c>
      <c r="I52" s="512">
        <f t="shared" si="19"/>
        <v>-9.3379796500000012</v>
      </c>
      <c r="J52" s="513">
        <f t="shared" si="19"/>
        <v>-0.20586819507886486</v>
      </c>
      <c r="K52" s="129"/>
      <c r="L52" s="38"/>
      <c r="M52" s="38"/>
    </row>
  </sheetData>
  <mergeCells count="5">
    <mergeCell ref="B4:D4"/>
    <mergeCell ref="E4:H4"/>
    <mergeCell ref="I4:J4"/>
    <mergeCell ref="G19:G20"/>
    <mergeCell ref="A46:L46"/>
  </mergeCells>
  <hyperlinks>
    <hyperlink ref="K30" r:id="rId1" xr:uid="{00000000-0004-0000-0600-000000000000}"/>
    <hyperlink ref="K32" r:id="rId2" display="Ausweis / Herleitung siehe Rechnungsbotschaft 2022, Seite 74" xr:uid="{00000000-0004-0000-0600-000001000000}"/>
    <hyperlink ref="K31" r:id="rId3" xr:uid="{00000000-0004-0000-0600-000002000000}"/>
    <hyperlink ref="K33" r:id="rId4" xr:uid="{BE816AD2-89A6-4203-BC08-25B8D4C6038B}"/>
    <hyperlink ref="K34" r:id="rId5" xr:uid="{86A3F2C8-8705-4A9F-96D2-AF85FCE9DE29}"/>
  </hyperlinks>
  <pageMargins left="0.19685039370078741" right="0.19685039370078741" top="0.39370078740157483" bottom="0.59055118110236227" header="0.31496062992125984" footer="0.31496062992125984"/>
  <pageSetup paperSize="8" scale="79" orientation="landscape" r:id="rId6"/>
  <headerFooter>
    <oddFooter>&amp;L&amp;"Arial Narrow,Standard"DFG, 9. April 2024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O48"/>
  <sheetViews>
    <sheetView showGridLines="0" tabSelected="1" view="pageBreakPreview" zoomScale="145" zoomScaleNormal="150" zoomScaleSheetLayoutView="145" zoomScalePageLayoutView="200" workbookViewId="0">
      <selection activeCell="A6" sqref="A6"/>
    </sheetView>
    <sheetView topLeftCell="A10" zoomScale="115" zoomScaleNormal="115" zoomScalePageLayoutView="115" workbookViewId="1">
      <selection activeCell="C38" sqref="C38"/>
    </sheetView>
  </sheetViews>
  <sheetFormatPr baseColWidth="10" defaultColWidth="10.90625" defaultRowHeight="14.5" x14ac:dyDescent="0.35"/>
  <cols>
    <col min="1" max="1" width="62" style="139" customWidth="1"/>
    <col min="2" max="6" width="9.453125" style="140" customWidth="1"/>
    <col min="7" max="11" width="9.453125" style="139" customWidth="1"/>
    <col min="12" max="16384" width="10.90625" style="139"/>
  </cols>
  <sheetData>
    <row r="1" spans="1:15" ht="15.5" x14ac:dyDescent="0.35">
      <c r="A1" s="622" t="s">
        <v>293</v>
      </c>
      <c r="B1" s="623"/>
      <c r="C1" s="623"/>
      <c r="D1" s="623"/>
      <c r="E1" s="623"/>
      <c r="F1" s="623"/>
      <c r="G1" s="623"/>
      <c r="H1" s="623"/>
      <c r="I1" s="623"/>
      <c r="J1" s="537"/>
      <c r="K1" s="537"/>
      <c r="L1" s="537"/>
      <c r="M1" s="537"/>
      <c r="N1" s="537"/>
      <c r="O1" s="537"/>
    </row>
    <row r="2" spans="1:15" ht="56.25" customHeight="1" x14ac:dyDescent="0.35">
      <c r="A2" s="624" t="s">
        <v>318</v>
      </c>
      <c r="B2" s="625"/>
      <c r="C2" s="625"/>
      <c r="D2" s="625"/>
      <c r="E2" s="625"/>
      <c r="F2" s="625"/>
      <c r="G2" s="625"/>
      <c r="H2" s="625"/>
      <c r="I2" s="625"/>
      <c r="J2" s="521"/>
      <c r="K2" s="521"/>
      <c r="L2" s="521"/>
      <c r="M2" s="521"/>
      <c r="N2" s="521"/>
      <c r="O2" s="521"/>
    </row>
    <row r="3" spans="1:15" ht="4.5" customHeight="1" x14ac:dyDescent="0.35"/>
    <row r="4" spans="1:15" s="137" customFormat="1" ht="16.25" customHeight="1" x14ac:dyDescent="0.25">
      <c r="A4" s="143" t="s">
        <v>279</v>
      </c>
      <c r="B4" s="621" t="s">
        <v>286</v>
      </c>
      <c r="C4" s="621" t="s">
        <v>285</v>
      </c>
      <c r="D4" s="621" t="s">
        <v>284</v>
      </c>
      <c r="E4" s="621" t="s">
        <v>283</v>
      </c>
      <c r="F4" s="621" t="s">
        <v>282</v>
      </c>
      <c r="G4" s="619" t="s">
        <v>281</v>
      </c>
      <c r="H4" s="619" t="s">
        <v>301</v>
      </c>
      <c r="I4" s="619" t="s">
        <v>315</v>
      </c>
      <c r="J4" s="619" t="s">
        <v>317</v>
      </c>
      <c r="K4" s="617" t="s">
        <v>372</v>
      </c>
    </row>
    <row r="5" spans="1:15" s="137" customFormat="1" ht="16.649999999999999" customHeight="1" x14ac:dyDescent="0.25">
      <c r="A5" s="151" t="s">
        <v>296</v>
      </c>
      <c r="B5" s="620"/>
      <c r="C5" s="620"/>
      <c r="D5" s="620"/>
      <c r="E5" s="620"/>
      <c r="F5" s="620"/>
      <c r="G5" s="620"/>
      <c r="H5" s="620"/>
      <c r="I5" s="620"/>
      <c r="J5" s="620"/>
      <c r="K5" s="618"/>
    </row>
    <row r="6" spans="1:15" s="138" customFormat="1" ht="15.65" customHeight="1" x14ac:dyDescent="0.25">
      <c r="A6" s="144" t="s">
        <v>264</v>
      </c>
      <c r="B6" s="404">
        <v>2298.196723</v>
      </c>
      <c r="C6" s="404">
        <v>2400.2202649999999</v>
      </c>
      <c r="D6" s="404">
        <v>2476.5994759999999</v>
      </c>
      <c r="E6" s="404">
        <v>2527.3324899999998</v>
      </c>
      <c r="F6" s="404">
        <v>2644.3208460000001</v>
      </c>
      <c r="G6" s="405">
        <v>2841.7164939999998</v>
      </c>
      <c r="H6" s="405">
        <v>3097.2564483900001</v>
      </c>
      <c r="I6" s="405">
        <v>3243.0914132399998</v>
      </c>
      <c r="J6" s="405">
        <v>3319.4187562699999</v>
      </c>
      <c r="K6" s="514">
        <v>3308.2846600399998</v>
      </c>
    </row>
    <row r="7" spans="1:15" s="137" customFormat="1" ht="15.65" customHeight="1" x14ac:dyDescent="0.25">
      <c r="A7" s="146" t="s">
        <v>265</v>
      </c>
      <c r="B7" s="404">
        <f t="shared" ref="B7:I7" si="0">SUM(B8:B11)</f>
        <v>-255.001</v>
      </c>
      <c r="C7" s="404">
        <f t="shared" si="0"/>
        <v>-234.84157400000001</v>
      </c>
      <c r="D7" s="404">
        <f>SUM(D8:D11)</f>
        <v>-228.091576</v>
      </c>
      <c r="E7" s="404">
        <f t="shared" si="0"/>
        <v>-232.25352999999998</v>
      </c>
      <c r="F7" s="404">
        <f t="shared" si="0"/>
        <v>-232.45023900000001</v>
      </c>
      <c r="G7" s="404">
        <f t="shared" si="0"/>
        <v>-233.975131</v>
      </c>
      <c r="H7" s="404">
        <f t="shared" si="0"/>
        <v>-232.22591704999999</v>
      </c>
      <c r="I7" s="404">
        <f t="shared" si="0"/>
        <v>-234.25097647000001</v>
      </c>
      <c r="J7" s="404">
        <f>SUM(J8:J11)</f>
        <v>-226.34182321</v>
      </c>
      <c r="K7" s="514">
        <f>SUM(K8:K11)</f>
        <v>-425.82967366999998</v>
      </c>
    </row>
    <row r="8" spans="1:15" s="137" customFormat="1" ht="15.65" customHeight="1" x14ac:dyDescent="0.25">
      <c r="A8" s="148" t="s">
        <v>266</v>
      </c>
      <c r="B8" s="406">
        <v>-3.9329999999999998</v>
      </c>
      <c r="C8" s="406">
        <v>-3.9602569999999999</v>
      </c>
      <c r="D8" s="406">
        <v>-4.0028199999999998</v>
      </c>
      <c r="E8" s="406">
        <v>-3.7169629999999998</v>
      </c>
      <c r="F8" s="406">
        <v>-3.381281</v>
      </c>
      <c r="G8" s="406">
        <v>-3.46787</v>
      </c>
      <c r="H8" s="406">
        <v>-3.4870092800000001</v>
      </c>
      <c r="I8" s="406">
        <v>-3.2492667499999999</v>
      </c>
      <c r="J8" s="406">
        <v>-3.0130131900000001</v>
      </c>
      <c r="K8" s="515">
        <v>-2.7206324500000001</v>
      </c>
    </row>
    <row r="9" spans="1:15" s="137" customFormat="1" ht="15.65" customHeight="1" x14ac:dyDescent="0.25">
      <c r="A9" s="148" t="s">
        <v>267</v>
      </c>
      <c r="B9" s="406">
        <v>-151.06800000000001</v>
      </c>
      <c r="C9" s="406">
        <v>-130.881317</v>
      </c>
      <c r="D9" s="406">
        <v>-124.088756</v>
      </c>
      <c r="E9" s="406">
        <v>-128.53656699999999</v>
      </c>
      <c r="F9" s="406">
        <v>-129.06895800000001</v>
      </c>
      <c r="G9" s="406">
        <v>-130.507261</v>
      </c>
      <c r="H9" s="406">
        <v>-128.73890777</v>
      </c>
      <c r="I9" s="406">
        <v>-131.00170972000001</v>
      </c>
      <c r="J9" s="406">
        <v>-123.32881002000001</v>
      </c>
      <c r="K9" s="515">
        <v>-123.10904121999999</v>
      </c>
    </row>
    <row r="10" spans="1:15" s="137" customFormat="1" ht="15.65" customHeight="1" x14ac:dyDescent="0.25">
      <c r="A10" s="148" t="s">
        <v>268</v>
      </c>
      <c r="B10" s="406">
        <v>-100</v>
      </c>
      <c r="C10" s="406">
        <v>-100</v>
      </c>
      <c r="D10" s="406">
        <v>-100</v>
      </c>
      <c r="E10" s="406">
        <v>-100</v>
      </c>
      <c r="F10" s="406">
        <v>-100</v>
      </c>
      <c r="G10" s="406">
        <v>-100</v>
      </c>
      <c r="H10" s="406">
        <v>-100</v>
      </c>
      <c r="I10" s="406">
        <v>-100</v>
      </c>
      <c r="J10" s="406">
        <v>-100</v>
      </c>
      <c r="K10" s="515">
        <v>-100</v>
      </c>
      <c r="L10" s="450"/>
    </row>
    <row r="11" spans="1:15" s="137" customFormat="1" ht="15.65" customHeight="1" x14ac:dyDescent="0.25">
      <c r="A11" s="148" t="s">
        <v>373</v>
      </c>
      <c r="B11" s="406"/>
      <c r="C11" s="406"/>
      <c r="D11" s="406"/>
      <c r="E11" s="406"/>
      <c r="F11" s="406"/>
      <c r="G11" s="406"/>
      <c r="H11" s="406"/>
      <c r="I11" s="406"/>
      <c r="J11" s="406"/>
      <c r="K11" s="515">
        <v>-200</v>
      </c>
      <c r="L11" s="450"/>
    </row>
    <row r="12" spans="1:15" s="137" customFormat="1" ht="15.65" customHeight="1" x14ac:dyDescent="0.25">
      <c r="A12" s="146" t="s">
        <v>269</v>
      </c>
      <c r="B12" s="404">
        <f>SUM(B13:B17)</f>
        <v>-101.212</v>
      </c>
      <c r="C12" s="404">
        <f t="shared" ref="C12:F12" si="1">SUM(C13:C17)</f>
        <v>-94.578073000000003</v>
      </c>
      <c r="D12" s="404">
        <f t="shared" si="1"/>
        <v>-174.97339399999998</v>
      </c>
      <c r="E12" s="404">
        <f t="shared" si="1"/>
        <v>-167.92496699999998</v>
      </c>
      <c r="F12" s="404">
        <f t="shared" si="1"/>
        <v>-202.81696700000001</v>
      </c>
      <c r="G12" s="404">
        <f>SUM(G13:G17)</f>
        <v>-264.38706999999999</v>
      </c>
      <c r="H12" s="404">
        <f t="shared" ref="H12:I12" si="2">SUM(H13:H17)</f>
        <v>-316.09112481</v>
      </c>
      <c r="I12" s="404">
        <f t="shared" si="2"/>
        <v>-297.53521175999998</v>
      </c>
      <c r="J12" s="404">
        <f>SUM(J13:J17)</f>
        <v>-294.07425469000003</v>
      </c>
      <c r="K12" s="514">
        <f>SUM(K13:K17)</f>
        <v>-300.65851559000004</v>
      </c>
    </row>
    <row r="13" spans="1:15" s="137" customFormat="1" ht="15.65" customHeight="1" x14ac:dyDescent="0.25">
      <c r="A13" s="145" t="s">
        <v>322</v>
      </c>
      <c r="B13" s="406">
        <v>-80</v>
      </c>
      <c r="C13" s="406">
        <v>-77.366</v>
      </c>
      <c r="D13" s="406">
        <v>-70.961320999999998</v>
      </c>
      <c r="E13" s="406">
        <v>-66.112893999999997</v>
      </c>
      <c r="F13" s="406">
        <v>-61.604894000000002</v>
      </c>
      <c r="G13" s="406">
        <v>-59.222549000000001</v>
      </c>
      <c r="H13" s="406">
        <v>-58.458210000000001</v>
      </c>
      <c r="I13" s="406">
        <v>-55.997343999999998</v>
      </c>
      <c r="J13" s="406">
        <v>-52.267344000000001</v>
      </c>
      <c r="K13" s="515">
        <v>-80.604962999999998</v>
      </c>
    </row>
    <row r="14" spans="1:15" s="137" customFormat="1" ht="15.65" customHeight="1" x14ac:dyDescent="0.25">
      <c r="A14" s="148" t="s">
        <v>323</v>
      </c>
      <c r="B14" s="406">
        <v>-21.212</v>
      </c>
      <c r="C14" s="406">
        <v>-17.212073</v>
      </c>
      <c r="D14" s="406">
        <v>-14.012073000000001</v>
      </c>
      <c r="E14" s="406">
        <v>-11.812073</v>
      </c>
      <c r="F14" s="406">
        <v>-11.212073</v>
      </c>
      <c r="G14" s="406">
        <v>-9.2120730000000002</v>
      </c>
      <c r="H14" s="406">
        <v>-7.1120729999999996</v>
      </c>
      <c r="I14" s="406">
        <v>-4.012073</v>
      </c>
      <c r="J14" s="406">
        <v>-2.3120729999999998</v>
      </c>
      <c r="K14" s="515">
        <v>-1.4120729999999999</v>
      </c>
    </row>
    <row r="15" spans="1:15" s="137" customFormat="1" ht="15.65" customHeight="1" x14ac:dyDescent="0.25">
      <c r="A15" s="148" t="s">
        <v>324</v>
      </c>
      <c r="B15" s="406"/>
      <c r="C15" s="406"/>
      <c r="D15" s="406">
        <v>-90</v>
      </c>
      <c r="E15" s="406">
        <v>-90</v>
      </c>
      <c r="F15" s="406">
        <v>-90</v>
      </c>
      <c r="G15" s="406">
        <v>-90</v>
      </c>
      <c r="H15" s="406">
        <v>-150</v>
      </c>
      <c r="I15" s="406">
        <v>-150</v>
      </c>
      <c r="J15" s="406">
        <v>-150</v>
      </c>
      <c r="K15" s="515">
        <v>-150</v>
      </c>
    </row>
    <row r="16" spans="1:15" s="137" customFormat="1" ht="15.65" customHeight="1" x14ac:dyDescent="0.25">
      <c r="A16" s="148" t="s">
        <v>325</v>
      </c>
      <c r="B16" s="406"/>
      <c r="C16" s="406"/>
      <c r="D16" s="406"/>
      <c r="E16" s="406"/>
      <c r="F16" s="406">
        <v>-40</v>
      </c>
      <c r="G16" s="406">
        <v>-38.952447999999997</v>
      </c>
      <c r="H16" s="406">
        <v>-36.968413699999999</v>
      </c>
      <c r="I16" s="406">
        <v>-33.733971449999999</v>
      </c>
      <c r="J16" s="406">
        <v>-30.251833609999998</v>
      </c>
      <c r="K16" s="515">
        <v>-27.335112590000001</v>
      </c>
    </row>
    <row r="17" spans="1:11" s="137" customFormat="1" ht="15.65" customHeight="1" x14ac:dyDescent="0.25">
      <c r="A17" s="149" t="s">
        <v>326</v>
      </c>
      <c r="B17" s="406"/>
      <c r="C17" s="406"/>
      <c r="D17" s="406"/>
      <c r="E17" s="406"/>
      <c r="F17" s="406" t="s">
        <v>291</v>
      </c>
      <c r="G17" s="406">
        <v>-67</v>
      </c>
      <c r="H17" s="406">
        <v>-63.552428110000001</v>
      </c>
      <c r="I17" s="406">
        <v>-53.791823309999998</v>
      </c>
      <c r="J17" s="406">
        <v>-59.243004079999999</v>
      </c>
      <c r="K17" s="515">
        <v>-41.306367000000002</v>
      </c>
    </row>
    <row r="18" spans="1:11" s="137" customFormat="1" ht="15.65" customHeight="1" x14ac:dyDescent="0.25">
      <c r="A18" s="150" t="s">
        <v>270</v>
      </c>
      <c r="B18" s="404">
        <f t="shared" ref="B18:G18" si="3">B6+B7+B12</f>
        <v>1941.9837230000001</v>
      </c>
      <c r="C18" s="404">
        <f t="shared" si="3"/>
        <v>2070.8006179999998</v>
      </c>
      <c r="D18" s="404">
        <f t="shared" si="3"/>
        <v>2073.534506</v>
      </c>
      <c r="E18" s="404">
        <f t="shared" si="3"/>
        <v>2127.1539929999999</v>
      </c>
      <c r="F18" s="404">
        <f t="shared" si="3"/>
        <v>2209.0536399999996</v>
      </c>
      <c r="G18" s="404">
        <f t="shared" si="3"/>
        <v>2343.3542929999994</v>
      </c>
      <c r="H18" s="404">
        <f t="shared" ref="H18:I18" si="4">H6+H7+H12</f>
        <v>2548.9394065299998</v>
      </c>
      <c r="I18" s="404">
        <f t="shared" si="4"/>
        <v>2711.30522501</v>
      </c>
      <c r="J18" s="404">
        <f>J6+J7+J12</f>
        <v>2799.00267837</v>
      </c>
      <c r="K18" s="514">
        <f>K6+K7+K12</f>
        <v>2581.7964707799997</v>
      </c>
    </row>
    <row r="19" spans="1:11" s="137" customFormat="1" ht="24.65" customHeight="1" x14ac:dyDescent="0.25">
      <c r="A19" s="150" t="s">
        <v>271</v>
      </c>
      <c r="B19" s="404">
        <f t="shared" ref="B19:G19" si="5">SUM(B20:B23)</f>
        <v>-837.26718000000005</v>
      </c>
      <c r="C19" s="404">
        <f t="shared" si="5"/>
        <v>-865.44691300000011</v>
      </c>
      <c r="D19" s="404">
        <f t="shared" si="5"/>
        <v>-916.08687800000007</v>
      </c>
      <c r="E19" s="404">
        <f t="shared" si="5"/>
        <v>-960.8141720000001</v>
      </c>
      <c r="F19" s="404">
        <f>SUM(F20:F23)</f>
        <v>-972.0149100000001</v>
      </c>
      <c r="G19" s="404">
        <f t="shared" si="5"/>
        <v>-974.27319900000009</v>
      </c>
      <c r="H19" s="404">
        <f t="shared" ref="H19" si="6">SUM(H20:H23)</f>
        <v>-970.76971471000002</v>
      </c>
      <c r="I19" s="404">
        <f>SUM(I20:I23)</f>
        <v>-986.96320917000014</v>
      </c>
      <c r="J19" s="404">
        <f>SUM(J20:J23)</f>
        <v>-1005.3494189800001</v>
      </c>
      <c r="K19" s="514">
        <f>SUM(K20:K23)</f>
        <v>-1055.6162428499999</v>
      </c>
    </row>
    <row r="20" spans="1:11" s="137" customFormat="1" ht="16.25" customHeight="1" x14ac:dyDescent="0.25">
      <c r="A20" s="148" t="s">
        <v>272</v>
      </c>
      <c r="B20" s="406">
        <v>-1034.403035</v>
      </c>
      <c r="C20" s="406">
        <v>-1067.6635510000001</v>
      </c>
      <c r="D20" s="406">
        <v>-1119.261176</v>
      </c>
      <c r="E20" s="406">
        <v>-1163.4481040000001</v>
      </c>
      <c r="F20" s="406">
        <v>-1175.004107</v>
      </c>
      <c r="G20" s="406">
        <v>-1176.73236</v>
      </c>
      <c r="H20" s="406">
        <v>-1169.44866099</v>
      </c>
      <c r="I20" s="406">
        <v>-1188.752013</v>
      </c>
      <c r="J20" s="406">
        <v>-1208.61727292</v>
      </c>
      <c r="K20" s="515">
        <v>-1264.07140147</v>
      </c>
    </row>
    <row r="21" spans="1:11" s="137" customFormat="1" ht="16.25" customHeight="1" x14ac:dyDescent="0.25">
      <c r="A21" s="149" t="s">
        <v>302</v>
      </c>
      <c r="B21" s="407">
        <f>27.0637-4.543683</f>
        <v>22.520017000000003</v>
      </c>
      <c r="C21" s="407">
        <f>28.87655-0.75</f>
        <v>28.126550000000002</v>
      </c>
      <c r="D21" s="407">
        <f>30.49905-0.75</f>
        <v>29.74905</v>
      </c>
      <c r="E21" s="407">
        <f>29.95805-0.75</f>
        <v>29.20805</v>
      </c>
      <c r="F21" s="643">
        <v>29.763249999999999</v>
      </c>
      <c r="G21" s="643">
        <v>29.711950000000002</v>
      </c>
      <c r="H21" s="407">
        <v>26.08475</v>
      </c>
      <c r="I21" s="407">
        <v>28.57395</v>
      </c>
      <c r="J21" s="407">
        <v>29.04055</v>
      </c>
      <c r="K21" s="515">
        <v>31.761800000000001</v>
      </c>
    </row>
    <row r="22" spans="1:11" s="137" customFormat="1" ht="16.25" customHeight="1" x14ac:dyDescent="0.25">
      <c r="A22" s="148" t="s">
        <v>273</v>
      </c>
      <c r="B22" s="406">
        <v>171.45983799999999</v>
      </c>
      <c r="C22" s="406">
        <v>171.45983799999999</v>
      </c>
      <c r="D22" s="406">
        <v>171.44399799999999</v>
      </c>
      <c r="E22" s="406">
        <v>171.43388200000001</v>
      </c>
      <c r="F22" s="406">
        <v>171.42319699999999</v>
      </c>
      <c r="G22" s="406">
        <v>171.383836</v>
      </c>
      <c r="H22" s="406">
        <v>171.37544628000001</v>
      </c>
      <c r="I22" s="406">
        <v>171.24797882999999</v>
      </c>
      <c r="J22" s="406">
        <v>173.30627894</v>
      </c>
      <c r="K22" s="515">
        <v>175.49905862</v>
      </c>
    </row>
    <row r="23" spans="1:11" s="137" customFormat="1" ht="16.25" customHeight="1" x14ac:dyDescent="0.25">
      <c r="A23" s="148" t="s">
        <v>274</v>
      </c>
      <c r="B23" s="406">
        <v>3.1560000000000001</v>
      </c>
      <c r="C23" s="406">
        <v>2.6302500000000002</v>
      </c>
      <c r="D23" s="406">
        <v>1.98125</v>
      </c>
      <c r="E23" s="406">
        <v>1.992</v>
      </c>
      <c r="F23" s="406">
        <v>1.8027500000000001</v>
      </c>
      <c r="G23" s="406">
        <v>1.363375</v>
      </c>
      <c r="H23" s="406">
        <v>1.21875</v>
      </c>
      <c r="I23" s="406">
        <v>1.9668749999999999</v>
      </c>
      <c r="J23" s="406">
        <v>0.92102499999999998</v>
      </c>
      <c r="K23" s="515">
        <v>1.1942999999999999</v>
      </c>
    </row>
    <row r="24" spans="1:11" s="137" customFormat="1" ht="25.25" customHeight="1" x14ac:dyDescent="0.25">
      <c r="A24" s="150" t="s">
        <v>275</v>
      </c>
      <c r="B24" s="404">
        <f t="shared" ref="B24:G24" si="7">B25+B26</f>
        <v>-759.79443299999991</v>
      </c>
      <c r="C24" s="404">
        <f t="shared" si="7"/>
        <v>-751.87546699999996</v>
      </c>
      <c r="D24" s="404">
        <f t="shared" si="7"/>
        <v>-739.19672799999989</v>
      </c>
      <c r="E24" s="404">
        <f t="shared" si="7"/>
        <v>-670.2595530000001</v>
      </c>
      <c r="F24" s="404">
        <f>F25+F26</f>
        <v>-684.39413200000001</v>
      </c>
      <c r="G24" s="404">
        <f t="shared" si="7"/>
        <v>-740.83035999999993</v>
      </c>
      <c r="H24" s="404">
        <f t="shared" ref="H24:I24" si="8">H25+H26</f>
        <v>-842.51142462999996</v>
      </c>
      <c r="I24" s="404">
        <f t="shared" si="8"/>
        <v>-866.3389666700001</v>
      </c>
      <c r="J24" s="404">
        <f>J25+J26</f>
        <v>-866.23340827999994</v>
      </c>
      <c r="K24" s="514">
        <f>K25+K26</f>
        <v>-859.65338067000005</v>
      </c>
    </row>
    <row r="25" spans="1:11" s="137" customFormat="1" ht="16.25" customHeight="1" x14ac:dyDescent="0.25">
      <c r="A25" s="148" t="s">
        <v>276</v>
      </c>
      <c r="B25" s="406">
        <v>-779.85813599999994</v>
      </c>
      <c r="C25" s="406">
        <v>-816.85906199999999</v>
      </c>
      <c r="D25" s="406">
        <v>-819.92738699999995</v>
      </c>
      <c r="E25" s="406">
        <v>-769.24930700000004</v>
      </c>
      <c r="F25" s="406">
        <v>-775.43581200000006</v>
      </c>
      <c r="G25" s="406">
        <v>-848.05846499999996</v>
      </c>
      <c r="H25" s="406">
        <v>-932.95761062999998</v>
      </c>
      <c r="I25" s="406">
        <v>-962.59420967000005</v>
      </c>
      <c r="J25" s="406">
        <v>-968.52634627999998</v>
      </c>
      <c r="K25" s="515">
        <v>-976.11179167</v>
      </c>
    </row>
    <row r="26" spans="1:11" s="137" customFormat="1" ht="16.25" customHeight="1" x14ac:dyDescent="0.25">
      <c r="A26" s="148" t="s">
        <v>277</v>
      </c>
      <c r="B26" s="406">
        <v>20.063703</v>
      </c>
      <c r="C26" s="406">
        <v>64.983594999999994</v>
      </c>
      <c r="D26" s="406">
        <v>80.730659000000003</v>
      </c>
      <c r="E26" s="406">
        <v>98.989754000000005</v>
      </c>
      <c r="F26" s="406">
        <v>91.041679999999999</v>
      </c>
      <c r="G26" s="406">
        <v>107.228105</v>
      </c>
      <c r="H26" s="406">
        <v>90.446185999999997</v>
      </c>
      <c r="I26" s="406">
        <v>96.255242999999993</v>
      </c>
      <c r="J26" s="406">
        <v>102.29293800000001</v>
      </c>
      <c r="K26" s="515">
        <v>116.458411</v>
      </c>
    </row>
    <row r="27" spans="1:11" s="137" customFormat="1" ht="16.25" customHeight="1" x14ac:dyDescent="0.25">
      <c r="A27" s="147" t="s">
        <v>278</v>
      </c>
      <c r="B27" s="408">
        <f t="shared" ref="B27:G27" si="9">SUM(B18+B19+B24)</f>
        <v>344.92211000000009</v>
      </c>
      <c r="C27" s="408">
        <f t="shared" si="9"/>
        <v>453.47823799999958</v>
      </c>
      <c r="D27" s="408">
        <f t="shared" si="9"/>
        <v>418.2509</v>
      </c>
      <c r="E27" s="408">
        <f t="shared" si="9"/>
        <v>496.08026799999971</v>
      </c>
      <c r="F27" s="408">
        <f>SUM(F18+F19+F24)</f>
        <v>552.64459799999952</v>
      </c>
      <c r="G27" s="408">
        <f t="shared" si="9"/>
        <v>628.25073399999928</v>
      </c>
      <c r="H27" s="408">
        <f t="shared" ref="H27:I27" si="10">SUM(H18+H19+H24)</f>
        <v>735.65826718999983</v>
      </c>
      <c r="I27" s="408">
        <f t="shared" si="10"/>
        <v>858.00304916999983</v>
      </c>
      <c r="J27" s="408">
        <f>SUM(J18+J19+J24)</f>
        <v>927.41985110999997</v>
      </c>
      <c r="K27" s="516">
        <f>SUM(K18+K19+K24)</f>
        <v>666.52684725999973</v>
      </c>
    </row>
    <row r="28" spans="1:11" ht="7.5" customHeight="1" x14ac:dyDescent="0.35">
      <c r="G28" s="141"/>
      <c r="H28" s="141"/>
      <c r="I28" s="141"/>
      <c r="J28" s="141"/>
      <c r="K28" s="449"/>
    </row>
    <row r="29" spans="1:11" s="137" customFormat="1" ht="16.25" customHeight="1" x14ac:dyDescent="0.25">
      <c r="A29" s="143" t="s">
        <v>280</v>
      </c>
      <c r="B29" s="621" t="s">
        <v>286</v>
      </c>
      <c r="C29" s="621" t="s">
        <v>285</v>
      </c>
      <c r="D29" s="621" t="s">
        <v>284</v>
      </c>
      <c r="E29" s="621" t="s">
        <v>283</v>
      </c>
      <c r="F29" s="621" t="s">
        <v>282</v>
      </c>
      <c r="G29" s="619" t="s">
        <v>281</v>
      </c>
      <c r="H29" s="619" t="s">
        <v>301</v>
      </c>
      <c r="I29" s="619" t="s">
        <v>315</v>
      </c>
      <c r="J29" s="619" t="s">
        <v>317</v>
      </c>
      <c r="K29" s="617" t="s">
        <v>372</v>
      </c>
    </row>
    <row r="30" spans="1:11" s="137" customFormat="1" ht="16.649999999999999" customHeight="1" x14ac:dyDescent="0.25">
      <c r="A30" s="151" t="s">
        <v>296</v>
      </c>
      <c r="B30" s="620"/>
      <c r="C30" s="620"/>
      <c r="D30" s="620"/>
      <c r="E30" s="620"/>
      <c r="F30" s="620"/>
      <c r="G30" s="620"/>
      <c r="H30" s="620"/>
      <c r="I30" s="620"/>
      <c r="J30" s="620"/>
      <c r="K30" s="618"/>
    </row>
    <row r="31" spans="1:11" s="138" customFormat="1" ht="15.65" customHeight="1" x14ac:dyDescent="0.25">
      <c r="A31" s="144" t="s">
        <v>287</v>
      </c>
      <c r="B31" s="404">
        <f t="shared" ref="B31:G31" si="11">B32+B33</f>
        <v>356.21300000000002</v>
      </c>
      <c r="C31" s="404">
        <f t="shared" si="11"/>
        <v>329.419647</v>
      </c>
      <c r="D31" s="404">
        <f t="shared" si="11"/>
        <v>403.06497000000002</v>
      </c>
      <c r="E31" s="404">
        <f t="shared" si="11"/>
        <v>400.17849699999999</v>
      </c>
      <c r="F31" s="404">
        <f t="shared" si="11"/>
        <v>435.26720599999999</v>
      </c>
      <c r="G31" s="405">
        <f t="shared" si="11"/>
        <v>498.36220100000003</v>
      </c>
      <c r="H31" s="405">
        <f>H32+H33</f>
        <v>548.31704186000002</v>
      </c>
      <c r="I31" s="405">
        <f>I32+I33</f>
        <v>531.78618822999999</v>
      </c>
      <c r="J31" s="405">
        <f>J32+J33</f>
        <v>520.4160779</v>
      </c>
      <c r="K31" s="514">
        <f>K32+K33</f>
        <v>726.48818926000001</v>
      </c>
    </row>
    <row r="32" spans="1:11" s="137" customFormat="1" ht="15.65" customHeight="1" x14ac:dyDescent="0.25">
      <c r="A32" s="145" t="s">
        <v>288</v>
      </c>
      <c r="B32" s="406">
        <f t="shared" ref="B32:G32" si="12">B7*-1</f>
        <v>255.001</v>
      </c>
      <c r="C32" s="406">
        <f t="shared" si="12"/>
        <v>234.84157400000001</v>
      </c>
      <c r="D32" s="406">
        <f t="shared" si="12"/>
        <v>228.091576</v>
      </c>
      <c r="E32" s="406">
        <f t="shared" si="12"/>
        <v>232.25352999999998</v>
      </c>
      <c r="F32" s="406">
        <f t="shared" si="12"/>
        <v>232.45023900000001</v>
      </c>
      <c r="G32" s="406">
        <f t="shared" si="12"/>
        <v>233.975131</v>
      </c>
      <c r="H32" s="406">
        <f>H7*-1</f>
        <v>232.22591704999999</v>
      </c>
      <c r="I32" s="406">
        <f>I7*-1</f>
        <v>234.25097647000001</v>
      </c>
      <c r="J32" s="406">
        <f>J7*-1</f>
        <v>226.34182321</v>
      </c>
      <c r="K32" s="515">
        <f>K7*-1</f>
        <v>425.82967366999998</v>
      </c>
    </row>
    <row r="33" spans="1:11" s="137" customFormat="1" ht="15.65" customHeight="1" x14ac:dyDescent="0.25">
      <c r="A33" s="145" t="s">
        <v>289</v>
      </c>
      <c r="B33" s="406">
        <f t="shared" ref="B33:G33" si="13">B12*-1</f>
        <v>101.212</v>
      </c>
      <c r="C33" s="406">
        <f t="shared" si="13"/>
        <v>94.578073000000003</v>
      </c>
      <c r="D33" s="406">
        <f t="shared" si="13"/>
        <v>174.97339399999998</v>
      </c>
      <c r="E33" s="406">
        <f t="shared" si="13"/>
        <v>167.92496699999998</v>
      </c>
      <c r="F33" s="406">
        <f t="shared" si="13"/>
        <v>202.81696700000001</v>
      </c>
      <c r="G33" s="406">
        <f t="shared" si="13"/>
        <v>264.38706999999999</v>
      </c>
      <c r="H33" s="406">
        <f>H12*-1</f>
        <v>316.09112481</v>
      </c>
      <c r="I33" s="406">
        <f>I12*-1</f>
        <v>297.53521175999998</v>
      </c>
      <c r="J33" s="406">
        <f>J12*-1</f>
        <v>294.07425469000003</v>
      </c>
      <c r="K33" s="515">
        <f>K12*-1</f>
        <v>300.65851559000004</v>
      </c>
    </row>
    <row r="34" spans="1:11" s="138" customFormat="1" ht="15.65" customHeight="1" x14ac:dyDescent="0.25">
      <c r="A34" s="146" t="s">
        <v>290</v>
      </c>
      <c r="B34" s="404">
        <f t="shared" ref="B34:G34" si="14">B27</f>
        <v>344.92211000000009</v>
      </c>
      <c r="C34" s="404">
        <f t="shared" si="14"/>
        <v>453.47823799999958</v>
      </c>
      <c r="D34" s="404">
        <f t="shared" si="14"/>
        <v>418.2509</v>
      </c>
      <c r="E34" s="404">
        <f t="shared" si="14"/>
        <v>496.08026799999971</v>
      </c>
      <c r="F34" s="404">
        <f>F27</f>
        <v>552.64459799999952</v>
      </c>
      <c r="G34" s="404">
        <f t="shared" si="14"/>
        <v>628.25073399999928</v>
      </c>
      <c r="H34" s="404">
        <f t="shared" ref="H34" si="15">H27</f>
        <v>735.65826718999983</v>
      </c>
      <c r="I34" s="404">
        <f>I27</f>
        <v>858.00304916999983</v>
      </c>
      <c r="J34" s="404">
        <f>J27</f>
        <v>927.41985110999997</v>
      </c>
      <c r="K34" s="514">
        <f>K27</f>
        <v>666.52684725999973</v>
      </c>
    </row>
    <row r="35" spans="1:11" s="138" customFormat="1" ht="15.65" customHeight="1" x14ac:dyDescent="0.25">
      <c r="A35" s="147" t="s">
        <v>292</v>
      </c>
      <c r="B35" s="408">
        <f t="shared" ref="B35:G35" si="16">B31+B34</f>
        <v>701.13511000000017</v>
      </c>
      <c r="C35" s="408">
        <f t="shared" si="16"/>
        <v>782.89788499999963</v>
      </c>
      <c r="D35" s="408">
        <f t="shared" si="16"/>
        <v>821.31587000000002</v>
      </c>
      <c r="E35" s="408">
        <f t="shared" si="16"/>
        <v>896.2587649999997</v>
      </c>
      <c r="F35" s="408">
        <f t="shared" si="16"/>
        <v>987.91180399999951</v>
      </c>
      <c r="G35" s="408">
        <f t="shared" si="16"/>
        <v>1126.6129349999992</v>
      </c>
      <c r="H35" s="408">
        <f>H31+H34</f>
        <v>1283.9753090499999</v>
      </c>
      <c r="I35" s="408">
        <f>I31+I34</f>
        <v>1389.7892373999998</v>
      </c>
      <c r="J35" s="408">
        <f>J31+J34</f>
        <v>1447.83592901</v>
      </c>
      <c r="K35" s="516">
        <f>K31+K34</f>
        <v>1393.0150365199997</v>
      </c>
    </row>
    <row r="36" spans="1:11" ht="6.75" customHeight="1" x14ac:dyDescent="0.35">
      <c r="B36" s="142"/>
      <c r="C36" s="142"/>
      <c r="D36" s="142"/>
      <c r="E36" s="142"/>
      <c r="F36" s="142"/>
    </row>
    <row r="37" spans="1:11" x14ac:dyDescent="0.35">
      <c r="A37" s="644"/>
      <c r="B37" s="142"/>
      <c r="C37" s="142"/>
      <c r="D37" s="142"/>
      <c r="E37" s="142"/>
      <c r="F37" s="142"/>
    </row>
    <row r="38" spans="1:11" x14ac:dyDescent="0.35">
      <c r="B38" s="142"/>
      <c r="C38" s="142"/>
      <c r="D38" s="142"/>
      <c r="E38" s="142"/>
      <c r="F38" s="142"/>
    </row>
    <row r="39" spans="1:11" x14ac:dyDescent="0.35">
      <c r="B39" s="142"/>
      <c r="C39" s="142"/>
      <c r="D39" s="142"/>
      <c r="E39" s="142"/>
      <c r="F39" s="142"/>
    </row>
    <row r="40" spans="1:11" x14ac:dyDescent="0.35">
      <c r="B40" s="142"/>
      <c r="C40" s="142"/>
      <c r="D40" s="142"/>
      <c r="E40" s="142"/>
      <c r="F40" s="142"/>
    </row>
    <row r="41" spans="1:11" x14ac:dyDescent="0.35">
      <c r="B41" s="154"/>
      <c r="C41" s="154"/>
      <c r="D41" s="154"/>
      <c r="E41" s="154"/>
      <c r="F41" s="154"/>
    </row>
    <row r="42" spans="1:11" x14ac:dyDescent="0.35">
      <c r="B42" s="142"/>
      <c r="C42" s="142"/>
      <c r="D42" s="142"/>
      <c r="E42" s="142"/>
      <c r="F42" s="142"/>
    </row>
    <row r="43" spans="1:11" x14ac:dyDescent="0.35">
      <c r="B43" s="142"/>
      <c r="C43" s="142"/>
      <c r="D43" s="142"/>
      <c r="E43" s="142"/>
      <c r="F43" s="142"/>
    </row>
    <row r="44" spans="1:11" x14ac:dyDescent="0.35">
      <c r="B44" s="142"/>
      <c r="C44" s="142"/>
      <c r="D44" s="142"/>
      <c r="E44" s="142"/>
      <c r="F44" s="142"/>
    </row>
    <row r="45" spans="1:11" x14ac:dyDescent="0.35">
      <c r="B45" s="142"/>
      <c r="C45" s="142"/>
      <c r="D45" s="142"/>
      <c r="E45" s="142"/>
      <c r="F45" s="142"/>
    </row>
    <row r="46" spans="1:11" x14ac:dyDescent="0.35">
      <c r="B46" s="142"/>
      <c r="C46" s="142"/>
      <c r="D46" s="142"/>
      <c r="E46" s="142"/>
      <c r="F46" s="142"/>
    </row>
    <row r="47" spans="1:11" x14ac:dyDescent="0.35">
      <c r="B47" s="142"/>
      <c r="C47" s="142"/>
      <c r="D47" s="142"/>
      <c r="E47" s="142"/>
      <c r="F47" s="142"/>
    </row>
    <row r="48" spans="1:11" x14ac:dyDescent="0.35">
      <c r="B48" s="142"/>
      <c r="C48" s="142"/>
      <c r="D48" s="142"/>
      <c r="E48" s="142"/>
      <c r="F48" s="142"/>
    </row>
  </sheetData>
  <sheetProtection formatColumns="0" formatRows="0" insertColumns="0" insertRows="0" deleteColumns="0" deleteRows="0"/>
  <protectedRanges>
    <protectedRange sqref="A4:A5 A29:A30 B30:K35 B5:K27" name="Bereich1"/>
    <protectedRange sqref="B4:F4 B29:F29" name="Bereich1_1"/>
    <protectedRange sqref="G4:K4 G29:K29" name="Bereich1_2"/>
  </protectedRanges>
  <mergeCells count="22">
    <mergeCell ref="A1:O1"/>
    <mergeCell ref="A2:O2"/>
    <mergeCell ref="B4:B5"/>
    <mergeCell ref="C4:C5"/>
    <mergeCell ref="D4:D5"/>
    <mergeCell ref="E4:E5"/>
    <mergeCell ref="F4:F5"/>
    <mergeCell ref="G4:G5"/>
    <mergeCell ref="I4:I5"/>
    <mergeCell ref="H4:H5"/>
    <mergeCell ref="J4:J5"/>
    <mergeCell ref="K4:K5"/>
    <mergeCell ref="B29:B30"/>
    <mergeCell ref="C29:C30"/>
    <mergeCell ref="D29:D30"/>
    <mergeCell ref="E29:E30"/>
    <mergeCell ref="F29:F30"/>
    <mergeCell ref="K29:K30"/>
    <mergeCell ref="H29:H30"/>
    <mergeCell ref="J29:J30"/>
    <mergeCell ref="I29:I30"/>
    <mergeCell ref="G29:G30"/>
  </mergeCells>
  <pageMargins left="0.43307086614173229" right="0.43307086614173229" top="0.35433070866141736" bottom="0.74803149606299213" header="0.11811023622047245" footer="0.31496062992125984"/>
  <pageSetup paperSize="8" fitToHeight="0" orientation="landscape" r:id="rId1"/>
  <headerFooter>
    <oddFooter>&amp;L&amp;"Arial Narrow,Standard"&amp;7DFG, 9. April 2024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F98819F554765489B7B192091139105" ma:contentTypeVersion="3" ma:contentTypeDescription="Ein neues Dokument erstellen." ma:contentTypeScope="" ma:versionID="f2ff27678854d5ca118da6073f12048f">
  <xsd:schema xmlns:xsd="http://www.w3.org/2001/XMLSchema" xmlns:xs="http://www.w3.org/2001/XMLSchema" xmlns:p="http://schemas.microsoft.com/office/2006/metadata/properties" xmlns:ns1="http://schemas.microsoft.com/sharepoint/v3" targetNamespace="http://schemas.microsoft.com/office/2006/metadata/properties" ma:root="true" ma:fieldsID="1a06697d3cc722abf4ff0805cd84a077" ns1:_="">
    <xsd:import namespace="http://schemas.microsoft.com/sharepoint/v3"/>
    <xsd:element name="properties">
      <xsd:complexType>
        <xsd:sequence>
          <xsd:element name="documentManagement">
            <xsd:complexType>
              <xsd:all>
                <xsd:element ref="ns1:CustomerID" minOccurs="0"/>
                <xsd:element ref="ns1:Langu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ustomerID" ma:index="8" nillable="true" ma:displayName="Benutzerdefinierte ID" ma:internalName="CustomerID">
      <xsd:simpleType>
        <xsd:restriction base="dms:Text"/>
      </xsd:simpleType>
    </xsd:element>
    <xsd:element name="Language" ma:index="10" nillable="true" ma:displayName="Sprache" ma:default="DE" ma:format="Dropdown" ma:internalName="Language">
      <xsd:simpleType>
        <xsd:restriction base="dms:Choice">
          <xsd:enumeration value="DE"/>
          <xsd:enumeration value="RM"/>
          <xsd:enumeration value="I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CustomerID xmlns="http://schemas.microsoft.com/sharepoint/v3" xsi:nil="true"/>
  </documentManagement>
</p:properties>
</file>

<file path=customXml/itemProps1.xml><?xml version="1.0" encoding="utf-8"?>
<ds:datastoreItem xmlns:ds="http://schemas.openxmlformats.org/officeDocument/2006/customXml" ds:itemID="{0B2DDB65-95D0-4911-A200-EF9A38BD5BF6}"/>
</file>

<file path=customXml/itemProps2.xml><?xml version="1.0" encoding="utf-8"?>
<ds:datastoreItem xmlns:ds="http://schemas.openxmlformats.org/officeDocument/2006/customXml" ds:itemID="{533DE010-7829-46A6-A310-3C953439AF79}">
  <ds:schemaRefs>
    <ds:schemaRef ds:uri="http://schemas.microsoft.com/sharepoint/v3/contenttype/forms"/>
  </ds:schemaRefs>
</ds:datastoreItem>
</file>

<file path=customXml/itemProps3.xml><?xml version="1.0" encoding="utf-8"?>
<ds:datastoreItem xmlns:ds="http://schemas.openxmlformats.org/officeDocument/2006/customXml" ds:itemID="{A783691A-6F0B-498F-9892-4C3F83332BB1}">
  <ds:schemaRefs>
    <ds:schemaRef ds:uri="http://purl.org/dc/terms/"/>
    <ds:schemaRef ds:uri="http://schemas.openxmlformats.org/package/2006/metadata/core-properties"/>
    <ds:schemaRef ds:uri="1127b708-ad37-4fe8-8a02-ec26d4ed1eb3"/>
    <ds:schemaRef ds:uri="http://purl.org/dc/dcmitype/"/>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Schlüsselgrössen</vt:lpstr>
      <vt:lpstr>Aufwandgruppen</vt:lpstr>
      <vt:lpstr>Ertragsgruppen</vt:lpstr>
      <vt:lpstr>SF Strassen</vt:lpstr>
      <vt:lpstr>HRM2-Kennzahlen ab 2013</vt:lpstr>
      <vt:lpstr>Ergebnisse Erfolgsrechnung</vt:lpstr>
      <vt:lpstr>Ergebnisse Investitionsrechnung</vt:lpstr>
      <vt:lpstr>frei verfügbares Eigenkapital</vt:lpstr>
      <vt:lpstr>'Ergebnisse Erfolgsrechnung'!Druckbereich</vt:lpstr>
      <vt:lpstr>'Ergebnisse Investitionsrechnung'!Druckbereich</vt:lpstr>
      <vt:lpstr>'frei verfügbares Eigenkapital'!Druckbereich</vt:lpstr>
      <vt:lpstr>'HRM2-Kennzahlen ab 2013'!Druckbereich</vt:lpstr>
      <vt:lpstr>Schlüsselgrössen!Druckbereich</vt:lpstr>
      <vt:lpstr>'SF Strassen'!Druckbereich</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Schlüsselgrössen Finanzhaushalt 1997 - 2022</dc:title>
  <dc:creator>felsan</dc:creator>
  <cp:lastModifiedBy>Häseli Joël (DFG GR)</cp:lastModifiedBy>
  <cp:lastPrinted>2024-03-13T14:26:17Z</cp:lastPrinted>
  <dcterms:created xsi:type="dcterms:W3CDTF">2010-09-16T06:23:44Z</dcterms:created>
  <dcterms:modified xsi:type="dcterms:W3CDTF">2026-05-05T13:15:34Z</dcterms:modified>
  <cp:category>2022</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0x0101009F98819F554765489B7B192091139105</vt:lpwstr>
  </property>
  <property fmtid="{D5CDD505-2E9C-101B-9397-08002B2CF9AE}" pid="3" name="MSIP_Label_fbfc5642-2d7f-4e68-9674-ab3e35a89b06_Enabled">
    <vt:lpwstr>true</vt:lpwstr>
  </property>
  <property fmtid="{D5CDD505-2E9C-101B-9397-08002B2CF9AE}" pid="4" name="MSIP_Label_fbfc5642-2d7f-4e68-9674-ab3e35a89b06_SetDate">
    <vt:lpwstr>2026-04-09T08:32:59Z</vt:lpwstr>
  </property>
  <property fmtid="{D5CDD505-2E9C-101B-9397-08002B2CF9AE}" pid="5" name="MSIP_Label_fbfc5642-2d7f-4e68-9674-ab3e35a89b06_Method">
    <vt:lpwstr>Standard</vt:lpwstr>
  </property>
  <property fmtid="{D5CDD505-2E9C-101B-9397-08002B2CF9AE}" pid="6" name="MSIP_Label_fbfc5642-2d7f-4e68-9674-ab3e35a89b06_Name">
    <vt:lpwstr>label-2-default</vt:lpwstr>
  </property>
  <property fmtid="{D5CDD505-2E9C-101B-9397-08002B2CF9AE}" pid="7" name="MSIP_Label_fbfc5642-2d7f-4e68-9674-ab3e35a89b06_SiteId">
    <vt:lpwstr>70ee0a01-45f2-4b86-aa78-73100089c50c</vt:lpwstr>
  </property>
  <property fmtid="{D5CDD505-2E9C-101B-9397-08002B2CF9AE}" pid="8" name="MSIP_Label_fbfc5642-2d7f-4e68-9674-ab3e35a89b06_ActionId">
    <vt:lpwstr>94a0f617-aa8c-40c9-ad92-29818469b3d2</vt:lpwstr>
  </property>
  <property fmtid="{D5CDD505-2E9C-101B-9397-08002B2CF9AE}" pid="9" name="MSIP_Label_fbfc5642-2d7f-4e68-9674-ab3e35a89b06_ContentBits">
    <vt:lpwstr>0</vt:lpwstr>
  </property>
  <property fmtid="{D5CDD505-2E9C-101B-9397-08002B2CF9AE}" pid="10" name="MSIP_Label_fbfc5642-2d7f-4e68-9674-ab3e35a89b06_Tag">
    <vt:lpwstr>10, 3, 0, 1</vt:lpwstr>
  </property>
  <property fmtid="{D5CDD505-2E9C-101B-9397-08002B2CF9AE}" pid="11" name="Jet Reports Function Literals">
    <vt:lpwstr>\	;	;	{	}	[@[{0}]]	1031	2055</vt:lpwstr>
  </property>
</Properties>
</file>